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rinsek/Documents/"/>
    </mc:Choice>
  </mc:AlternateContent>
  <xr:revisionPtr revIDLastSave="0" documentId="13_ncr:20001_{F4D98A30-AB86-3346-8CC9-5FDC77612C37}" xr6:coauthVersionLast="34" xr6:coauthVersionMax="34" xr10:uidLastSave="{00000000-0000-0000-0000-000000000000}"/>
  <bookViews>
    <workbookView xWindow="880" yWindow="460" windowWidth="27920" windowHeight="17540" firstSheet="1" activeTab="5" xr2:uid="{00000000-000D-0000-FFFF-FFFF00000000}"/>
  </bookViews>
  <sheets>
    <sheet name="Papers" sheetId="1" r:id="rId1"/>
    <sheet name="Rubric" sheetId="2" state="hidden" r:id="rId2"/>
    <sheet name="Annotated Papers" sheetId="13" r:id="rId3"/>
    <sheet name="Paper_Level_Summary" sheetId="7" r:id="rId4"/>
    <sheet name="Copy of Paper_Level_Summary" sheetId="8" state="hidden" r:id="rId5"/>
    <sheet name="Domain_Source_Summary" sheetId="9" r:id="rId6"/>
    <sheet name="NeurIPS NLP 2018" sheetId="19" state="hidden" r:id="rId7"/>
  </sheets>
  <definedNames>
    <definedName name="_xlnm._FilterDatabase" localSheetId="4" hidden="1">'Copy of Paper_Level_Summary'!$A$1:$A$207</definedName>
    <definedName name="_xlnm._FilterDatabase" localSheetId="3" hidden="1">Paper_Level_Summary!$A$1:$I$379</definedName>
    <definedName name="Z_CD01A12A_D4E4_447C_9261_FE38C9B00FF9_.wvu.FilterData" localSheetId="2" hidden="1">'Annotated Papers'!$A$2:$L$384</definedName>
    <definedName name="Z_CD01A12A_D4E4_447C_9261_FE38C9B00FF9_.wvu.FilterData" localSheetId="4" hidden="1">'Copy of Paper_Level_Summary'!$A$1:$A$207</definedName>
    <definedName name="Z_CD01A12A_D4E4_447C_9261_FE38C9B00FF9_.wvu.FilterData" localSheetId="3" hidden="1">Paper_Level_Summary!$A$1:$A$1205</definedName>
  </definedNames>
  <calcPr calcId="179021"/>
  <customWorkbookViews>
    <customWorkbookView name="Filter 1" guid="{CD01A12A-D4E4-447C-9261-FE38C9B00FF9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B42" i="19" l="1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I928" i="13"/>
  <c r="I927" i="13"/>
  <c r="I926" i="13"/>
  <c r="I925" i="13"/>
  <c r="I924" i="13"/>
  <c r="I923" i="13"/>
  <c r="I922" i="13"/>
  <c r="I921" i="13"/>
  <c r="I920" i="13"/>
  <c r="I919" i="13"/>
  <c r="I918" i="13"/>
  <c r="I917" i="13"/>
  <c r="I916" i="13"/>
  <c r="I915" i="13"/>
  <c r="I914" i="13"/>
  <c r="I913" i="13"/>
  <c r="I912" i="13"/>
  <c r="I911" i="13"/>
  <c r="I910" i="13"/>
  <c r="I909" i="13"/>
  <c r="I908" i="13"/>
  <c r="I907" i="13"/>
  <c r="I906" i="13"/>
  <c r="I905" i="13"/>
  <c r="I904" i="13"/>
  <c r="I903" i="13"/>
  <c r="I902" i="13"/>
  <c r="I901" i="13"/>
  <c r="I900" i="13"/>
  <c r="I899" i="13"/>
  <c r="I898" i="13"/>
  <c r="I897" i="13"/>
  <c r="I896" i="13"/>
  <c r="I895" i="13"/>
  <c r="I894" i="13"/>
  <c r="I893" i="13"/>
  <c r="I892" i="13"/>
  <c r="I891" i="13"/>
  <c r="I890" i="13"/>
  <c r="I889" i="13"/>
  <c r="I888" i="13"/>
  <c r="I887" i="13"/>
  <c r="I886" i="13"/>
  <c r="I885" i="13"/>
  <c r="I884" i="13"/>
  <c r="I883" i="13"/>
  <c r="I882" i="13"/>
  <c r="I881" i="13"/>
  <c r="I880" i="13"/>
  <c r="I879" i="13"/>
  <c r="I878" i="13"/>
  <c r="I877" i="13"/>
  <c r="I876" i="13"/>
  <c r="I875" i="13"/>
  <c r="I874" i="13"/>
  <c r="I873" i="13"/>
  <c r="I872" i="13"/>
  <c r="I871" i="13"/>
  <c r="I870" i="13"/>
  <c r="I869" i="13"/>
  <c r="I868" i="13"/>
  <c r="I867" i="13"/>
  <c r="I866" i="13"/>
  <c r="I865" i="13"/>
  <c r="I864" i="13"/>
  <c r="I863" i="13"/>
  <c r="I862" i="13"/>
  <c r="I861" i="13"/>
  <c r="I860" i="13"/>
  <c r="I859" i="13"/>
  <c r="I858" i="13"/>
  <c r="I857" i="13"/>
  <c r="I856" i="13"/>
  <c r="I855" i="13"/>
  <c r="I854" i="13"/>
  <c r="I853" i="13"/>
  <c r="I852" i="13"/>
  <c r="I851" i="13"/>
  <c r="I850" i="13"/>
  <c r="I849" i="13"/>
  <c r="I848" i="13"/>
  <c r="I847" i="13"/>
  <c r="I846" i="13"/>
  <c r="I845" i="13"/>
  <c r="I844" i="13"/>
  <c r="I843" i="13"/>
  <c r="I842" i="13"/>
  <c r="I841" i="13"/>
  <c r="I840" i="13"/>
  <c r="I839" i="13"/>
  <c r="I838" i="13"/>
  <c r="I837" i="13"/>
  <c r="I836" i="13"/>
  <c r="I835" i="13"/>
  <c r="I834" i="13"/>
  <c r="I833" i="13"/>
  <c r="I832" i="13"/>
  <c r="I831" i="13"/>
  <c r="I830" i="13"/>
  <c r="I829" i="13"/>
  <c r="I828" i="13"/>
  <c r="I827" i="13"/>
  <c r="I826" i="13"/>
  <c r="I825" i="13"/>
  <c r="I824" i="13"/>
  <c r="I823" i="13"/>
  <c r="I822" i="13"/>
  <c r="I821" i="13"/>
  <c r="I820" i="13"/>
  <c r="I819" i="13"/>
  <c r="I818" i="13"/>
  <c r="I817" i="13"/>
  <c r="I816" i="13"/>
  <c r="I815" i="13"/>
  <c r="I814" i="13"/>
  <c r="I813" i="13"/>
  <c r="I812" i="13"/>
  <c r="I811" i="13"/>
  <c r="I810" i="13"/>
  <c r="I809" i="13"/>
  <c r="I808" i="13"/>
  <c r="I807" i="13"/>
  <c r="I806" i="13"/>
  <c r="I805" i="13"/>
  <c r="I804" i="13"/>
  <c r="I803" i="13"/>
  <c r="I802" i="13"/>
  <c r="I801" i="13"/>
  <c r="I800" i="13"/>
  <c r="I799" i="13"/>
  <c r="I798" i="13"/>
  <c r="I797" i="13"/>
  <c r="I796" i="13"/>
  <c r="I795" i="13"/>
  <c r="I794" i="13"/>
  <c r="I793" i="13"/>
  <c r="I792" i="13"/>
  <c r="I791" i="13"/>
  <c r="I790" i="13"/>
  <c r="I789" i="13"/>
  <c r="I788" i="13"/>
  <c r="I787" i="13"/>
  <c r="I786" i="13"/>
  <c r="I785" i="13"/>
  <c r="I784" i="13"/>
  <c r="I783" i="13"/>
  <c r="I782" i="13"/>
  <c r="I781" i="13"/>
  <c r="I780" i="13"/>
  <c r="I779" i="13"/>
  <c r="I778" i="13"/>
  <c r="I777" i="13"/>
  <c r="I776" i="13"/>
  <c r="I775" i="13"/>
  <c r="I774" i="13"/>
  <c r="I773" i="13"/>
  <c r="I772" i="13"/>
  <c r="I771" i="13"/>
  <c r="I770" i="13"/>
  <c r="I769" i="13"/>
  <c r="I768" i="13"/>
  <c r="I767" i="13"/>
  <c r="I766" i="13"/>
  <c r="I765" i="13"/>
  <c r="I764" i="13"/>
  <c r="I763" i="13"/>
  <c r="I762" i="13"/>
  <c r="I761" i="13"/>
  <c r="I760" i="13"/>
  <c r="I759" i="13"/>
  <c r="I758" i="13"/>
  <c r="I757" i="13"/>
  <c r="I756" i="13"/>
  <c r="I755" i="13"/>
  <c r="I754" i="13"/>
  <c r="I753" i="13"/>
  <c r="I752" i="13"/>
  <c r="I751" i="13"/>
  <c r="I750" i="13"/>
  <c r="I749" i="13"/>
  <c r="I748" i="13"/>
  <c r="I747" i="13"/>
  <c r="I746" i="13"/>
  <c r="I745" i="13"/>
  <c r="I744" i="13"/>
  <c r="I743" i="13"/>
  <c r="I742" i="13"/>
  <c r="I741" i="13"/>
  <c r="I740" i="13"/>
  <c r="I739" i="13"/>
  <c r="I738" i="13"/>
  <c r="I737" i="13"/>
  <c r="I736" i="13"/>
  <c r="I735" i="13"/>
  <c r="I734" i="13"/>
  <c r="M733" i="13"/>
  <c r="I733" i="13"/>
  <c r="M732" i="13"/>
  <c r="I732" i="13"/>
  <c r="M731" i="13"/>
  <c r="I731" i="13"/>
  <c r="M730" i="13"/>
  <c r="I730" i="13"/>
  <c r="M729" i="13"/>
  <c r="I729" i="13"/>
  <c r="M728" i="13"/>
  <c r="I728" i="13"/>
  <c r="M727" i="13"/>
  <c r="I727" i="13"/>
  <c r="M726" i="13"/>
  <c r="I726" i="13"/>
  <c r="M725" i="13"/>
  <c r="I725" i="13"/>
  <c r="M724" i="13"/>
  <c r="I724" i="13"/>
  <c r="M723" i="13"/>
  <c r="I723" i="13"/>
  <c r="M722" i="13"/>
  <c r="I722" i="13"/>
  <c r="M721" i="13"/>
  <c r="I721" i="13"/>
  <c r="M720" i="13"/>
  <c r="I720" i="13"/>
  <c r="M719" i="13"/>
  <c r="I719" i="13"/>
  <c r="M718" i="13"/>
  <c r="I718" i="13"/>
  <c r="M717" i="13"/>
  <c r="I717" i="13"/>
  <c r="M716" i="13"/>
  <c r="I716" i="13"/>
  <c r="M715" i="13"/>
  <c r="I715" i="13"/>
  <c r="M714" i="13"/>
  <c r="I714" i="13"/>
  <c r="M713" i="13"/>
  <c r="I713" i="13"/>
  <c r="M712" i="13"/>
  <c r="I712" i="13"/>
  <c r="M711" i="13"/>
  <c r="I711" i="13"/>
  <c r="M710" i="13"/>
  <c r="I710" i="13"/>
  <c r="M709" i="13"/>
  <c r="I709" i="13"/>
  <c r="M708" i="13"/>
  <c r="I708" i="13"/>
  <c r="M707" i="13"/>
  <c r="I707" i="13"/>
  <c r="M706" i="13"/>
  <c r="I706" i="13"/>
  <c r="M705" i="13"/>
  <c r="I705" i="13"/>
  <c r="M704" i="13"/>
  <c r="I704" i="13"/>
  <c r="M703" i="13"/>
  <c r="I703" i="13"/>
  <c r="M702" i="13"/>
  <c r="I702" i="13"/>
  <c r="M701" i="13"/>
  <c r="I701" i="13"/>
  <c r="M700" i="13"/>
  <c r="I700" i="13"/>
  <c r="M699" i="13"/>
  <c r="I699" i="13"/>
  <c r="M698" i="13"/>
  <c r="I698" i="13"/>
  <c r="M697" i="13"/>
  <c r="I697" i="13"/>
  <c r="M696" i="13"/>
  <c r="I696" i="13"/>
  <c r="M695" i="13"/>
  <c r="I695" i="13"/>
  <c r="M694" i="13"/>
  <c r="I694" i="13"/>
  <c r="M693" i="13"/>
  <c r="I693" i="13"/>
  <c r="M692" i="13"/>
  <c r="I692" i="13"/>
  <c r="M691" i="13"/>
  <c r="I691" i="13"/>
  <c r="M690" i="13"/>
  <c r="I690" i="13"/>
  <c r="M689" i="13"/>
  <c r="I689" i="13"/>
  <c r="M688" i="13"/>
  <c r="I688" i="13"/>
  <c r="M687" i="13"/>
  <c r="I687" i="13"/>
  <c r="M686" i="13"/>
  <c r="I686" i="13"/>
  <c r="M685" i="13"/>
  <c r="I685" i="13"/>
  <c r="M684" i="13"/>
  <c r="I684" i="13"/>
  <c r="M683" i="13"/>
  <c r="I683" i="13"/>
  <c r="M682" i="13"/>
  <c r="I682" i="13"/>
  <c r="M681" i="13"/>
  <c r="I681" i="13"/>
  <c r="M680" i="13"/>
  <c r="I680" i="13"/>
  <c r="M679" i="13"/>
  <c r="I679" i="13"/>
  <c r="M678" i="13"/>
  <c r="I678" i="13"/>
  <c r="M677" i="13"/>
  <c r="I677" i="13"/>
  <c r="M676" i="13"/>
  <c r="I676" i="13"/>
  <c r="M675" i="13"/>
  <c r="I675" i="13"/>
  <c r="M674" i="13"/>
  <c r="I674" i="13"/>
  <c r="M673" i="13"/>
  <c r="I673" i="13"/>
  <c r="M672" i="13"/>
  <c r="I672" i="13"/>
  <c r="M671" i="13"/>
  <c r="I671" i="13"/>
  <c r="M670" i="13"/>
  <c r="I670" i="13"/>
  <c r="M669" i="13"/>
  <c r="I669" i="13"/>
  <c r="M668" i="13"/>
  <c r="I668" i="13"/>
  <c r="M667" i="13"/>
  <c r="I667" i="13"/>
  <c r="M666" i="13"/>
  <c r="I666" i="13"/>
  <c r="M665" i="13"/>
  <c r="I665" i="13"/>
  <c r="M664" i="13"/>
  <c r="I664" i="13"/>
  <c r="M663" i="13"/>
  <c r="I663" i="13"/>
  <c r="M662" i="13"/>
  <c r="I662" i="13"/>
  <c r="M661" i="13"/>
  <c r="I661" i="13"/>
  <c r="M660" i="13"/>
  <c r="I660" i="13"/>
  <c r="M659" i="13"/>
  <c r="I659" i="13"/>
  <c r="M658" i="13"/>
  <c r="I658" i="13"/>
  <c r="M657" i="13"/>
  <c r="I657" i="13"/>
  <c r="M656" i="13"/>
  <c r="I656" i="13"/>
  <c r="M655" i="13"/>
  <c r="I655" i="13"/>
  <c r="M654" i="13"/>
  <c r="I654" i="13"/>
  <c r="M653" i="13"/>
  <c r="I653" i="13"/>
  <c r="M652" i="13"/>
  <c r="I652" i="13"/>
  <c r="M651" i="13"/>
  <c r="I651" i="13"/>
  <c r="M650" i="13"/>
  <c r="I650" i="13"/>
  <c r="M649" i="13"/>
  <c r="I649" i="13"/>
  <c r="M648" i="13"/>
  <c r="I648" i="13"/>
  <c r="M647" i="13"/>
  <c r="I647" i="13"/>
  <c r="M646" i="13"/>
  <c r="I646" i="13"/>
  <c r="M645" i="13"/>
  <c r="I645" i="13"/>
  <c r="M644" i="13"/>
  <c r="I644" i="13"/>
  <c r="M643" i="13"/>
  <c r="I643" i="13"/>
  <c r="M642" i="13"/>
  <c r="I642" i="13"/>
  <c r="M641" i="13"/>
  <c r="I641" i="13"/>
  <c r="M640" i="13"/>
  <c r="I640" i="13"/>
  <c r="M639" i="13"/>
  <c r="I639" i="13"/>
  <c r="M638" i="13"/>
  <c r="I638" i="13"/>
  <c r="M637" i="13"/>
  <c r="I637" i="13"/>
  <c r="M636" i="13"/>
  <c r="I636" i="13"/>
  <c r="M635" i="13"/>
  <c r="I635" i="13"/>
  <c r="M634" i="13"/>
  <c r="I634" i="13"/>
  <c r="M633" i="13"/>
  <c r="I633" i="13"/>
  <c r="M632" i="13"/>
  <c r="I632" i="13"/>
  <c r="M631" i="13"/>
  <c r="I631" i="13"/>
  <c r="M630" i="13"/>
  <c r="I630" i="13"/>
  <c r="M629" i="13"/>
  <c r="I629" i="13"/>
  <c r="M628" i="13"/>
  <c r="I628" i="13"/>
  <c r="M627" i="13"/>
  <c r="M626" i="13"/>
  <c r="M625" i="13"/>
  <c r="I625" i="13"/>
  <c r="M624" i="13"/>
  <c r="I624" i="13"/>
  <c r="M623" i="13"/>
  <c r="I623" i="13"/>
  <c r="M622" i="13"/>
  <c r="I622" i="13"/>
  <c r="M621" i="13"/>
  <c r="I621" i="13"/>
  <c r="M620" i="13"/>
  <c r="I620" i="13"/>
  <c r="M619" i="13"/>
  <c r="I619" i="13"/>
  <c r="M618" i="13"/>
  <c r="I618" i="13"/>
  <c r="M617" i="13"/>
  <c r="I617" i="13"/>
  <c r="M616" i="13"/>
  <c r="I616" i="13"/>
  <c r="M615" i="13"/>
  <c r="I615" i="13"/>
  <c r="M614" i="13"/>
  <c r="I614" i="13"/>
  <c r="M613" i="13"/>
  <c r="I613" i="13"/>
  <c r="M612" i="13"/>
  <c r="I612" i="13"/>
  <c r="M611" i="13"/>
  <c r="I611" i="13"/>
  <c r="M610" i="13"/>
  <c r="I610" i="13"/>
  <c r="M609" i="13"/>
  <c r="I609" i="13"/>
  <c r="M608" i="13"/>
  <c r="I608" i="13"/>
  <c r="M607" i="13"/>
  <c r="I607" i="13"/>
  <c r="M606" i="13"/>
  <c r="I606" i="13"/>
  <c r="M605" i="13"/>
  <c r="I605" i="13"/>
  <c r="M604" i="13"/>
  <c r="I604" i="13"/>
  <c r="M603" i="13"/>
  <c r="I603" i="13"/>
  <c r="M602" i="13"/>
  <c r="I602" i="13"/>
  <c r="M601" i="13"/>
  <c r="I601" i="13"/>
  <c r="M600" i="13"/>
  <c r="I600" i="13"/>
  <c r="M599" i="13"/>
  <c r="I599" i="13"/>
  <c r="M598" i="13"/>
  <c r="I598" i="13"/>
  <c r="M597" i="13"/>
  <c r="I597" i="13"/>
  <c r="M596" i="13"/>
  <c r="I596" i="13"/>
  <c r="M595" i="13"/>
  <c r="I595" i="13"/>
  <c r="M594" i="13"/>
  <c r="I594" i="13"/>
  <c r="M593" i="13"/>
  <c r="I593" i="13"/>
  <c r="M592" i="13"/>
  <c r="I592" i="13"/>
  <c r="M591" i="13"/>
  <c r="I591" i="13"/>
  <c r="M590" i="13"/>
  <c r="I590" i="13"/>
  <c r="M589" i="13"/>
  <c r="I589" i="13"/>
  <c r="M588" i="13"/>
  <c r="I588" i="13"/>
  <c r="M587" i="13"/>
  <c r="I587" i="13"/>
  <c r="M586" i="13"/>
  <c r="I586" i="13"/>
  <c r="M585" i="13"/>
  <c r="I585" i="13"/>
  <c r="M584" i="13"/>
  <c r="I584" i="13"/>
  <c r="M583" i="13"/>
  <c r="I583" i="13"/>
  <c r="M582" i="13"/>
  <c r="I582" i="13"/>
  <c r="M581" i="13"/>
  <c r="I581" i="13"/>
  <c r="M580" i="13"/>
  <c r="I580" i="13"/>
  <c r="M579" i="13"/>
  <c r="I579" i="13"/>
  <c r="M578" i="13"/>
  <c r="I578" i="13"/>
  <c r="M577" i="13"/>
  <c r="I577" i="13"/>
  <c r="M576" i="13"/>
  <c r="I576" i="13"/>
  <c r="M575" i="13"/>
  <c r="I575" i="13"/>
  <c r="M574" i="13"/>
  <c r="I574" i="13"/>
  <c r="M573" i="13"/>
  <c r="I573" i="13"/>
  <c r="M572" i="13"/>
  <c r="I572" i="13"/>
  <c r="M571" i="13"/>
  <c r="I571" i="13"/>
  <c r="M570" i="13"/>
  <c r="I570" i="13"/>
  <c r="M569" i="13"/>
  <c r="I569" i="13"/>
  <c r="M568" i="13"/>
  <c r="I568" i="13"/>
  <c r="M567" i="13"/>
  <c r="I567" i="13"/>
  <c r="M566" i="13"/>
  <c r="I566" i="13"/>
  <c r="M565" i="13"/>
  <c r="I565" i="13"/>
  <c r="M564" i="13"/>
  <c r="I564" i="13"/>
  <c r="M563" i="13"/>
  <c r="I563" i="13"/>
  <c r="M562" i="13"/>
  <c r="I562" i="13"/>
  <c r="M561" i="13"/>
  <c r="I561" i="13"/>
  <c r="M560" i="13"/>
  <c r="I560" i="13"/>
  <c r="M559" i="13"/>
  <c r="I559" i="13"/>
  <c r="M558" i="13"/>
  <c r="I558" i="13"/>
  <c r="M557" i="13"/>
  <c r="I557" i="13"/>
  <c r="M556" i="13"/>
  <c r="I556" i="13"/>
  <c r="M555" i="13"/>
  <c r="I555" i="13"/>
  <c r="M554" i="13"/>
  <c r="I554" i="13"/>
  <c r="M553" i="13"/>
  <c r="I553" i="13"/>
  <c r="M552" i="13"/>
  <c r="I552" i="13"/>
  <c r="M551" i="13"/>
  <c r="I551" i="13"/>
  <c r="M550" i="13"/>
  <c r="I550" i="13"/>
  <c r="M549" i="13"/>
  <c r="I549" i="13"/>
  <c r="M548" i="13"/>
  <c r="I548" i="13"/>
  <c r="M547" i="13"/>
  <c r="I547" i="13"/>
  <c r="M546" i="13"/>
  <c r="I546" i="13"/>
  <c r="M545" i="13"/>
  <c r="I545" i="13"/>
  <c r="I544" i="13"/>
  <c r="I543" i="13"/>
  <c r="A543" i="13"/>
  <c r="M543" i="13" s="1"/>
  <c r="I542" i="13"/>
  <c r="A542" i="13"/>
  <c r="M542" i="13" s="1"/>
  <c r="I541" i="13"/>
  <c r="A541" i="13"/>
  <c r="M541" i="13" s="1"/>
  <c r="M540" i="13"/>
  <c r="I540" i="13"/>
  <c r="A540" i="13"/>
  <c r="I539" i="13"/>
  <c r="A539" i="13"/>
  <c r="I538" i="13"/>
  <c r="A538" i="13"/>
  <c r="M539" i="13" s="1"/>
  <c r="I537" i="13"/>
  <c r="A537" i="13"/>
  <c r="M537" i="13" s="1"/>
  <c r="M536" i="13"/>
  <c r="I536" i="13"/>
  <c r="A536" i="13"/>
  <c r="I535" i="13"/>
  <c r="A535" i="13"/>
  <c r="I534" i="13"/>
  <c r="A534" i="13"/>
  <c r="M535" i="13" s="1"/>
  <c r="I533" i="13"/>
  <c r="A533" i="13"/>
  <c r="M533" i="13" s="1"/>
  <c r="M532" i="13"/>
  <c r="I532" i="13"/>
  <c r="A532" i="13"/>
  <c r="I531" i="13"/>
  <c r="A531" i="13"/>
  <c r="I530" i="13"/>
  <c r="A530" i="13"/>
  <c r="M531" i="13" s="1"/>
  <c r="I529" i="13"/>
  <c r="A529" i="13"/>
  <c r="M529" i="13" s="1"/>
  <c r="M528" i="13"/>
  <c r="I528" i="13"/>
  <c r="A528" i="13"/>
  <c r="M527" i="13"/>
  <c r="I527" i="13"/>
  <c r="M526" i="13"/>
  <c r="I526" i="13"/>
  <c r="M525" i="13"/>
  <c r="I525" i="13"/>
  <c r="M524" i="13"/>
  <c r="I524" i="13"/>
  <c r="M523" i="13"/>
  <c r="I523" i="13"/>
  <c r="M522" i="13"/>
  <c r="I522" i="13"/>
  <c r="M521" i="13"/>
  <c r="I521" i="13"/>
  <c r="M520" i="13"/>
  <c r="I520" i="13"/>
  <c r="M519" i="13"/>
  <c r="I518" i="13"/>
  <c r="I517" i="13"/>
  <c r="A517" i="13"/>
  <c r="M518" i="13" s="1"/>
  <c r="I516" i="13"/>
  <c r="A516" i="13"/>
  <c r="M516" i="13" s="1"/>
  <c r="M515" i="13"/>
  <c r="I515" i="13"/>
  <c r="A515" i="13"/>
  <c r="I514" i="13"/>
  <c r="A514" i="13"/>
  <c r="I513" i="13"/>
  <c r="A513" i="13"/>
  <c r="M514" i="13" s="1"/>
  <c r="I512" i="13"/>
  <c r="A512" i="13"/>
  <c r="M512" i="13" s="1"/>
  <c r="M511" i="13"/>
  <c r="I511" i="13"/>
  <c r="A511" i="13"/>
  <c r="I510" i="13"/>
  <c r="A510" i="13"/>
  <c r="I509" i="13"/>
  <c r="A509" i="13"/>
  <c r="M510" i="13" s="1"/>
  <c r="I508" i="13"/>
  <c r="A508" i="13"/>
  <c r="M508" i="13" s="1"/>
  <c r="M507" i="13"/>
  <c r="I507" i="13"/>
  <c r="A507" i="13"/>
  <c r="I506" i="13"/>
  <c r="A506" i="13"/>
  <c r="I505" i="13"/>
  <c r="A505" i="13"/>
  <c r="M506" i="13" s="1"/>
  <c r="I504" i="13"/>
  <c r="A504" i="13"/>
  <c r="M504" i="13" s="1"/>
  <c r="M503" i="13"/>
  <c r="M502" i="13"/>
  <c r="I502" i="13"/>
  <c r="M501" i="13"/>
  <c r="I501" i="13"/>
  <c r="M500" i="13"/>
  <c r="I500" i="13"/>
  <c r="M499" i="13"/>
  <c r="I499" i="13"/>
  <c r="M498" i="13"/>
  <c r="I498" i="13"/>
  <c r="M497" i="13"/>
  <c r="I497" i="13"/>
  <c r="M496" i="13"/>
  <c r="I496" i="13"/>
  <c r="M495" i="13"/>
  <c r="I495" i="13"/>
  <c r="M494" i="13"/>
  <c r="I494" i="13"/>
  <c r="I493" i="13"/>
  <c r="I492" i="13"/>
  <c r="A492" i="13"/>
  <c r="M493" i="13" s="1"/>
  <c r="M491" i="13"/>
  <c r="I491" i="13"/>
  <c r="A491" i="13"/>
  <c r="I490" i="13"/>
  <c r="A490" i="13"/>
  <c r="I489" i="13"/>
  <c r="A489" i="13"/>
  <c r="M490" i="13" s="1"/>
  <c r="I488" i="13"/>
  <c r="A488" i="13"/>
  <c r="M488" i="13" s="1"/>
  <c r="M487" i="13"/>
  <c r="I487" i="13"/>
  <c r="A487" i="13"/>
  <c r="I486" i="13"/>
  <c r="A486" i="13"/>
  <c r="I485" i="13"/>
  <c r="A485" i="13"/>
  <c r="M486" i="13" s="1"/>
  <c r="I484" i="13"/>
  <c r="A484" i="13"/>
  <c r="M484" i="13" s="1"/>
  <c r="M483" i="13"/>
  <c r="I483" i="13"/>
  <c r="A483" i="13"/>
  <c r="I482" i="13"/>
  <c r="A482" i="13"/>
  <c r="I481" i="13"/>
  <c r="A481" i="13"/>
  <c r="M482" i="13" s="1"/>
  <c r="I480" i="13"/>
  <c r="A480" i="13"/>
  <c r="M480" i="13" s="1"/>
  <c r="M479" i="13"/>
  <c r="I479" i="13"/>
  <c r="A479" i="13"/>
  <c r="I478" i="13"/>
  <c r="A478" i="13"/>
  <c r="I477" i="13"/>
  <c r="A477" i="13"/>
  <c r="M478" i="13" s="1"/>
  <c r="I476" i="13"/>
  <c r="A476" i="13"/>
  <c r="M476" i="13" s="1"/>
  <c r="M475" i="13"/>
  <c r="I475" i="13"/>
  <c r="A475" i="13"/>
  <c r="I474" i="13"/>
  <c r="A474" i="13"/>
  <c r="I473" i="13"/>
  <c r="A473" i="13"/>
  <c r="M474" i="13" s="1"/>
  <c r="I472" i="13"/>
  <c r="A472" i="13"/>
  <c r="M472" i="13" s="1"/>
  <c r="M471" i="13"/>
  <c r="M470" i="13"/>
  <c r="M469" i="13"/>
  <c r="I469" i="13"/>
  <c r="M468" i="13"/>
  <c r="M467" i="13"/>
  <c r="M466" i="13"/>
  <c r="M465" i="13"/>
  <c r="I465" i="13"/>
  <c r="M464" i="13"/>
  <c r="I464" i="13"/>
  <c r="M463" i="13"/>
  <c r="I463" i="13"/>
  <c r="M462" i="13"/>
  <c r="I462" i="13"/>
  <c r="M461" i="13"/>
  <c r="I461" i="13"/>
  <c r="M460" i="13"/>
  <c r="M459" i="13"/>
  <c r="I458" i="13"/>
  <c r="I457" i="13"/>
  <c r="A457" i="13"/>
  <c r="M458" i="13" s="1"/>
  <c r="M456" i="13"/>
  <c r="I456" i="13"/>
  <c r="A456" i="13"/>
  <c r="I455" i="13"/>
  <c r="A455" i="13"/>
  <c r="I454" i="13"/>
  <c r="A454" i="13"/>
  <c r="I453" i="13"/>
  <c r="A453" i="13"/>
  <c r="M453" i="13" s="1"/>
  <c r="M452" i="13"/>
  <c r="I452" i="13"/>
  <c r="A452" i="13"/>
  <c r="I451" i="13"/>
  <c r="A451" i="13"/>
  <c r="I450" i="13"/>
  <c r="A450" i="13"/>
  <c r="I449" i="13"/>
  <c r="A449" i="13"/>
  <c r="M449" i="13" s="1"/>
  <c r="M448" i="13"/>
  <c r="I448" i="13"/>
  <c r="A448" i="13"/>
  <c r="I447" i="13"/>
  <c r="A447" i="13"/>
  <c r="I446" i="13"/>
  <c r="A446" i="13"/>
  <c r="I445" i="13"/>
  <c r="A445" i="13"/>
  <c r="M445" i="13" s="1"/>
  <c r="M444" i="13"/>
  <c r="I444" i="13"/>
  <c r="A444" i="13"/>
  <c r="I443" i="13"/>
  <c r="A443" i="13"/>
  <c r="I442" i="13"/>
  <c r="A442" i="13"/>
  <c r="M442" i="13" s="1"/>
  <c r="I441" i="13"/>
  <c r="A441" i="13"/>
  <c r="M441" i="13" s="1"/>
  <c r="M440" i="13"/>
  <c r="I440" i="13"/>
  <c r="A440" i="13"/>
  <c r="I439" i="13"/>
  <c r="A439" i="13"/>
  <c r="I438" i="13"/>
  <c r="A438" i="13"/>
  <c r="I437" i="13"/>
  <c r="A437" i="13"/>
  <c r="M437" i="13" s="1"/>
  <c r="M436" i="13"/>
  <c r="I436" i="13"/>
  <c r="A436" i="13"/>
  <c r="I435" i="13"/>
  <c r="A435" i="13"/>
  <c r="I434" i="13"/>
  <c r="A434" i="13"/>
  <c r="M434" i="13" s="1"/>
  <c r="I433" i="13"/>
  <c r="A433" i="13"/>
  <c r="M433" i="13" s="1"/>
  <c r="M432" i="13"/>
  <c r="I432" i="13"/>
  <c r="A432" i="13"/>
  <c r="I431" i="13"/>
  <c r="A431" i="13"/>
  <c r="I430" i="13"/>
  <c r="A430" i="13"/>
  <c r="I429" i="13"/>
  <c r="A429" i="13"/>
  <c r="M429" i="13" s="1"/>
  <c r="M428" i="13"/>
  <c r="I428" i="13"/>
  <c r="A428" i="13"/>
  <c r="I427" i="13"/>
  <c r="A427" i="13"/>
  <c r="I426" i="13"/>
  <c r="A426" i="13"/>
  <c r="M426" i="13" s="1"/>
  <c r="I425" i="13"/>
  <c r="A425" i="13"/>
  <c r="I424" i="13"/>
  <c r="A424" i="13"/>
  <c r="M424" i="13" s="1"/>
  <c r="I423" i="13"/>
  <c r="A423" i="13"/>
  <c r="M423" i="13" s="1"/>
  <c r="M422" i="13"/>
  <c r="I422" i="13"/>
  <c r="A422" i="13"/>
  <c r="I421" i="13"/>
  <c r="A421" i="13"/>
  <c r="I420" i="13"/>
  <c r="A420" i="13"/>
  <c r="M420" i="13" s="1"/>
  <c r="I419" i="13"/>
  <c r="A419" i="13"/>
  <c r="M419" i="13" s="1"/>
  <c r="M418" i="13"/>
  <c r="I418" i="13"/>
  <c r="A418" i="13"/>
  <c r="I417" i="13"/>
  <c r="A417" i="13"/>
  <c r="I416" i="13"/>
  <c r="A416" i="13"/>
  <c r="M416" i="13" s="1"/>
  <c r="I415" i="13"/>
  <c r="A415" i="13"/>
  <c r="M415" i="13" s="1"/>
  <c r="M414" i="13"/>
  <c r="I414" i="13"/>
  <c r="A414" i="13"/>
  <c r="I413" i="13"/>
  <c r="A413" i="13"/>
  <c r="I412" i="13"/>
  <c r="A412" i="13"/>
  <c r="M412" i="13" s="1"/>
  <c r="I411" i="13"/>
  <c r="A411" i="13"/>
  <c r="M411" i="13" s="1"/>
  <c r="M410" i="13"/>
  <c r="I410" i="13"/>
  <c r="A410" i="13"/>
  <c r="I409" i="13"/>
  <c r="A409" i="13"/>
  <c r="I408" i="13"/>
  <c r="A408" i="13"/>
  <c r="M408" i="13" s="1"/>
  <c r="I407" i="13"/>
  <c r="A407" i="13"/>
  <c r="M407" i="13" s="1"/>
  <c r="M406" i="13"/>
  <c r="I406" i="13"/>
  <c r="A406" i="13"/>
  <c r="I405" i="13"/>
  <c r="A405" i="13"/>
  <c r="I404" i="13"/>
  <c r="A404" i="13"/>
  <c r="M404" i="13" s="1"/>
  <c r="I403" i="13"/>
  <c r="A403" i="13"/>
  <c r="M403" i="13" s="1"/>
  <c r="M402" i="13"/>
  <c r="I402" i="13"/>
  <c r="A402" i="13"/>
  <c r="I401" i="13"/>
  <c r="A401" i="13"/>
  <c r="I400" i="13"/>
  <c r="A400" i="13"/>
  <c r="M400" i="13" s="1"/>
  <c r="I399" i="13"/>
  <c r="A399" i="13"/>
  <c r="M399" i="13" s="1"/>
  <c r="M398" i="13"/>
  <c r="I398" i="13"/>
  <c r="M397" i="13"/>
  <c r="I397" i="13"/>
  <c r="M396" i="13"/>
  <c r="I396" i="13"/>
  <c r="M395" i="13"/>
  <c r="I395" i="13"/>
  <c r="M394" i="13"/>
  <c r="I394" i="13"/>
  <c r="M393" i="13"/>
  <c r="I393" i="13"/>
  <c r="M392" i="13"/>
  <c r="I392" i="13"/>
  <c r="M391" i="13"/>
  <c r="I391" i="13"/>
  <c r="M390" i="13"/>
  <c r="I390" i="13"/>
  <c r="M389" i="13"/>
  <c r="I389" i="13"/>
  <c r="M388" i="13"/>
  <c r="I388" i="13"/>
  <c r="M387" i="13"/>
  <c r="I387" i="13"/>
  <c r="M386" i="13"/>
  <c r="I386" i="13"/>
  <c r="M385" i="13"/>
  <c r="I385" i="13"/>
  <c r="M384" i="13"/>
  <c r="I384" i="13"/>
  <c r="M383" i="13"/>
  <c r="I383" i="13"/>
  <c r="M382" i="13"/>
  <c r="I382" i="13"/>
  <c r="M381" i="13"/>
  <c r="I381" i="13"/>
  <c r="M380" i="13"/>
  <c r="I380" i="13"/>
  <c r="M379" i="13"/>
  <c r="I379" i="13"/>
  <c r="M378" i="13"/>
  <c r="I378" i="13"/>
  <c r="M377" i="13"/>
  <c r="I377" i="13"/>
  <c r="M376" i="13"/>
  <c r="I376" i="13"/>
  <c r="M375" i="13"/>
  <c r="I375" i="13"/>
  <c r="M374" i="13"/>
  <c r="I374" i="13"/>
  <c r="M373" i="13"/>
  <c r="I373" i="13"/>
  <c r="M372" i="13"/>
  <c r="I372" i="13"/>
  <c r="M371" i="13"/>
  <c r="I371" i="13"/>
  <c r="M370" i="13"/>
  <c r="I370" i="13"/>
  <c r="M369" i="13"/>
  <c r="I369" i="13"/>
  <c r="M368" i="13"/>
  <c r="I368" i="13"/>
  <c r="M367" i="13"/>
  <c r="I367" i="13"/>
  <c r="M366" i="13"/>
  <c r="I366" i="13"/>
  <c r="M365" i="13"/>
  <c r="I365" i="13"/>
  <c r="M364" i="13"/>
  <c r="I364" i="13"/>
  <c r="M363" i="13"/>
  <c r="I363" i="13"/>
  <c r="M362" i="13"/>
  <c r="I362" i="13"/>
  <c r="M361" i="13"/>
  <c r="I361" i="13"/>
  <c r="M360" i="13"/>
  <c r="I360" i="13"/>
  <c r="M359" i="13"/>
  <c r="I359" i="13"/>
  <c r="M358" i="13"/>
  <c r="I358" i="13"/>
  <c r="M357" i="13"/>
  <c r="I357" i="13"/>
  <c r="M356" i="13"/>
  <c r="I356" i="13"/>
  <c r="M355" i="13"/>
  <c r="I355" i="13"/>
  <c r="M354" i="13"/>
  <c r="I354" i="13"/>
  <c r="M353" i="13"/>
  <c r="I353" i="13"/>
  <c r="M352" i="13"/>
  <c r="I352" i="13"/>
  <c r="M351" i="13"/>
  <c r="I351" i="13"/>
  <c r="M350" i="13"/>
  <c r="I350" i="13"/>
  <c r="M349" i="13"/>
  <c r="I349" i="13"/>
  <c r="M348" i="13"/>
  <c r="I348" i="13"/>
  <c r="M347" i="13"/>
  <c r="I347" i="13"/>
  <c r="M346" i="13"/>
  <c r="I346" i="13"/>
  <c r="M345" i="13"/>
  <c r="I345" i="13"/>
  <c r="M344" i="13"/>
  <c r="I344" i="13"/>
  <c r="M343" i="13"/>
  <c r="I343" i="13"/>
  <c r="M342" i="13"/>
  <c r="I342" i="13"/>
  <c r="M341" i="13"/>
  <c r="I341" i="13"/>
  <c r="M340" i="13"/>
  <c r="I340" i="13"/>
  <c r="M339" i="13"/>
  <c r="I339" i="13"/>
  <c r="M338" i="13"/>
  <c r="I338" i="13"/>
  <c r="M337" i="13"/>
  <c r="I337" i="13"/>
  <c r="M336" i="13"/>
  <c r="I336" i="13"/>
  <c r="M335" i="13"/>
  <c r="I335" i="13"/>
  <c r="M334" i="13"/>
  <c r="I334" i="13"/>
  <c r="M333" i="13"/>
  <c r="I333" i="13"/>
  <c r="M332" i="13"/>
  <c r="I332" i="13"/>
  <c r="M331" i="13"/>
  <c r="I331" i="13"/>
  <c r="M330" i="13"/>
  <c r="I330" i="13"/>
  <c r="M329" i="13"/>
  <c r="I329" i="13"/>
  <c r="M328" i="13"/>
  <c r="I328" i="13"/>
  <c r="M327" i="13"/>
  <c r="I327" i="13"/>
  <c r="M326" i="13"/>
  <c r="I326" i="13"/>
  <c r="M325" i="13"/>
  <c r="I325" i="13"/>
  <c r="M324" i="13"/>
  <c r="I324" i="13"/>
  <c r="M323" i="13"/>
  <c r="I323" i="13"/>
  <c r="M322" i="13"/>
  <c r="I322" i="13"/>
  <c r="M321" i="13"/>
  <c r="I321" i="13"/>
  <c r="M320" i="13"/>
  <c r="I320" i="13"/>
  <c r="M319" i="13"/>
  <c r="I319" i="13"/>
  <c r="M318" i="13"/>
  <c r="I318" i="13"/>
  <c r="M317" i="13"/>
  <c r="I317" i="13"/>
  <c r="M316" i="13"/>
  <c r="I316" i="13"/>
  <c r="M315" i="13"/>
  <c r="I315" i="13"/>
  <c r="M314" i="13"/>
  <c r="I314" i="13"/>
  <c r="M313" i="13"/>
  <c r="I313" i="13"/>
  <c r="M312" i="13"/>
  <c r="I312" i="13"/>
  <c r="M311" i="13"/>
  <c r="I311" i="13"/>
  <c r="M310" i="13"/>
  <c r="I310" i="13"/>
  <c r="M309" i="13"/>
  <c r="I309" i="13"/>
  <c r="M308" i="13"/>
  <c r="I308" i="13"/>
  <c r="M307" i="13"/>
  <c r="I307" i="13"/>
  <c r="M306" i="13"/>
  <c r="I306" i="13"/>
  <c r="M305" i="13"/>
  <c r="I305" i="13"/>
  <c r="M304" i="13"/>
  <c r="I304" i="13"/>
  <c r="M303" i="13"/>
  <c r="I303" i="13"/>
  <c r="M302" i="13"/>
  <c r="I302" i="13"/>
  <c r="M301" i="13"/>
  <c r="I301" i="13"/>
  <c r="M300" i="13"/>
  <c r="I300" i="13"/>
  <c r="M299" i="13"/>
  <c r="I299" i="13"/>
  <c r="M298" i="13"/>
  <c r="I298" i="13"/>
  <c r="M297" i="13"/>
  <c r="I297" i="13"/>
  <c r="M296" i="13"/>
  <c r="I296" i="13"/>
  <c r="M295" i="13"/>
  <c r="I295" i="13"/>
  <c r="M294" i="13"/>
  <c r="I294" i="13"/>
  <c r="M293" i="13"/>
  <c r="I293" i="13"/>
  <c r="M292" i="13"/>
  <c r="I292" i="13"/>
  <c r="M291" i="13"/>
  <c r="I291" i="13"/>
  <c r="M290" i="13"/>
  <c r="I290" i="13"/>
  <c r="M289" i="13"/>
  <c r="I289" i="13"/>
  <c r="M288" i="13"/>
  <c r="I288" i="13"/>
  <c r="M287" i="13"/>
  <c r="I287" i="13"/>
  <c r="M286" i="13"/>
  <c r="I286" i="13"/>
  <c r="M285" i="13"/>
  <c r="I285" i="13"/>
  <c r="M284" i="13"/>
  <c r="I284" i="13"/>
  <c r="M283" i="13"/>
  <c r="I283" i="13"/>
  <c r="M282" i="13"/>
  <c r="I282" i="13"/>
  <c r="M281" i="13"/>
  <c r="I281" i="13"/>
  <c r="M280" i="13"/>
  <c r="I280" i="13"/>
  <c r="M279" i="13"/>
  <c r="I279" i="13"/>
  <c r="M278" i="13"/>
  <c r="I278" i="13"/>
  <c r="M277" i="13"/>
  <c r="I277" i="13"/>
  <c r="M276" i="13"/>
  <c r="I276" i="13"/>
  <c r="M275" i="13"/>
  <c r="I275" i="13"/>
  <c r="M274" i="13"/>
  <c r="I274" i="13"/>
  <c r="M273" i="13"/>
  <c r="I273" i="13"/>
  <c r="M272" i="13"/>
  <c r="I272" i="13"/>
  <c r="M271" i="13"/>
  <c r="I271" i="13"/>
  <c r="M270" i="13"/>
  <c r="I270" i="13"/>
  <c r="M269" i="13"/>
  <c r="I269" i="13"/>
  <c r="M268" i="13"/>
  <c r="I268" i="13"/>
  <c r="M267" i="13"/>
  <c r="I267" i="13"/>
  <c r="M266" i="13"/>
  <c r="I266" i="13"/>
  <c r="M265" i="13"/>
  <c r="I265" i="13"/>
  <c r="M264" i="13"/>
  <c r="I264" i="13"/>
  <c r="M263" i="13"/>
  <c r="I263" i="13"/>
  <c r="M262" i="13"/>
  <c r="I262" i="13"/>
  <c r="M261" i="13"/>
  <c r="I261" i="13"/>
  <c r="M260" i="13"/>
  <c r="I260" i="13"/>
  <c r="M259" i="13"/>
  <c r="I259" i="13"/>
  <c r="M258" i="13"/>
  <c r="I258" i="13"/>
  <c r="M257" i="13"/>
  <c r="I257" i="13"/>
  <c r="M256" i="13"/>
  <c r="I256" i="13"/>
  <c r="M255" i="13"/>
  <c r="I255" i="13"/>
  <c r="M254" i="13"/>
  <c r="I254" i="13"/>
  <c r="M253" i="13"/>
  <c r="I253" i="13"/>
  <c r="M252" i="13"/>
  <c r="I252" i="13"/>
  <c r="M251" i="13"/>
  <c r="I251" i="13"/>
  <c r="M250" i="13"/>
  <c r="I250" i="13"/>
  <c r="M249" i="13"/>
  <c r="I249" i="13"/>
  <c r="M248" i="13"/>
  <c r="I248" i="13"/>
  <c r="M247" i="13"/>
  <c r="I247" i="13"/>
  <c r="M246" i="13"/>
  <c r="I246" i="13"/>
  <c r="M245" i="13"/>
  <c r="I245" i="13"/>
  <c r="M244" i="13"/>
  <c r="I244" i="13"/>
  <c r="M243" i="13"/>
  <c r="I243" i="13"/>
  <c r="M242" i="13"/>
  <c r="I242" i="13"/>
  <c r="M241" i="13"/>
  <c r="I241" i="13"/>
  <c r="M240" i="13"/>
  <c r="I240" i="13"/>
  <c r="M239" i="13"/>
  <c r="I239" i="13"/>
  <c r="M238" i="13"/>
  <c r="I238" i="13"/>
  <c r="M237" i="13"/>
  <c r="I237" i="13"/>
  <c r="M236" i="13"/>
  <c r="I236" i="13"/>
  <c r="M235" i="13"/>
  <c r="I235" i="13"/>
  <c r="M234" i="13"/>
  <c r="I234" i="13"/>
  <c r="M233" i="13"/>
  <c r="I233" i="13"/>
  <c r="M232" i="13"/>
  <c r="I232" i="13"/>
  <c r="M231" i="13"/>
  <c r="I231" i="13"/>
  <c r="M230" i="13"/>
  <c r="I230" i="13"/>
  <c r="M229" i="13"/>
  <c r="I229" i="13"/>
  <c r="M228" i="13"/>
  <c r="I228" i="13"/>
  <c r="M227" i="13"/>
  <c r="I227" i="13"/>
  <c r="M226" i="13"/>
  <c r="I226" i="13"/>
  <c r="M225" i="13"/>
  <c r="I225" i="13"/>
  <c r="M224" i="13"/>
  <c r="I224" i="13"/>
  <c r="M223" i="13"/>
  <c r="I223" i="13"/>
  <c r="M222" i="13"/>
  <c r="I222" i="13"/>
  <c r="M221" i="13"/>
  <c r="I221" i="13"/>
  <c r="M220" i="13"/>
  <c r="I220" i="13"/>
  <c r="M219" i="13"/>
  <c r="I219" i="13"/>
  <c r="M218" i="13"/>
  <c r="I218" i="13"/>
  <c r="M217" i="13"/>
  <c r="I217" i="13"/>
  <c r="M216" i="13"/>
  <c r="I216" i="13"/>
  <c r="M215" i="13"/>
  <c r="I215" i="13"/>
  <c r="M214" i="13"/>
  <c r="I214" i="13"/>
  <c r="M213" i="13"/>
  <c r="I213" i="13"/>
  <c r="M212" i="13"/>
  <c r="I212" i="13"/>
  <c r="M211" i="13"/>
  <c r="I211" i="13"/>
  <c r="M210" i="13"/>
  <c r="I210" i="13"/>
  <c r="M209" i="13"/>
  <c r="I209" i="13"/>
  <c r="M208" i="13"/>
  <c r="I208" i="13"/>
  <c r="M207" i="13"/>
  <c r="I207" i="13"/>
  <c r="M206" i="13"/>
  <c r="I206" i="13"/>
  <c r="M205" i="13"/>
  <c r="I205" i="13"/>
  <c r="M204" i="13"/>
  <c r="I204" i="13"/>
  <c r="M203" i="13"/>
  <c r="I203" i="13"/>
  <c r="M202" i="13"/>
  <c r="I202" i="13"/>
  <c r="M201" i="13"/>
  <c r="I201" i="13"/>
  <c r="M200" i="13"/>
  <c r="I200" i="13"/>
  <c r="M199" i="13"/>
  <c r="I199" i="13"/>
  <c r="M198" i="13"/>
  <c r="I198" i="13"/>
  <c r="M197" i="13"/>
  <c r="I197" i="13"/>
  <c r="M196" i="13"/>
  <c r="I196" i="13"/>
  <c r="M195" i="13"/>
  <c r="I195" i="13"/>
  <c r="M194" i="13"/>
  <c r="I194" i="13"/>
  <c r="M193" i="13"/>
  <c r="I193" i="13"/>
  <c r="M192" i="13"/>
  <c r="I192" i="13"/>
  <c r="M191" i="13"/>
  <c r="I191" i="13"/>
  <c r="M190" i="13"/>
  <c r="I190" i="13"/>
  <c r="M189" i="13"/>
  <c r="I189" i="13"/>
  <c r="M188" i="13"/>
  <c r="I188" i="13"/>
  <c r="M187" i="13"/>
  <c r="I187" i="13"/>
  <c r="M186" i="13"/>
  <c r="I186" i="13"/>
  <c r="M185" i="13"/>
  <c r="I185" i="13"/>
  <c r="M184" i="13"/>
  <c r="I184" i="13"/>
  <c r="M183" i="13"/>
  <c r="I183" i="13"/>
  <c r="M182" i="13"/>
  <c r="I182" i="13"/>
  <c r="M181" i="13"/>
  <c r="I181" i="13"/>
  <c r="M180" i="13"/>
  <c r="I180" i="13"/>
  <c r="M179" i="13"/>
  <c r="I179" i="13"/>
  <c r="M178" i="13"/>
  <c r="I178" i="13"/>
  <c r="M177" i="13"/>
  <c r="I177" i="13"/>
  <c r="M176" i="13"/>
  <c r="I176" i="13"/>
  <c r="M175" i="13"/>
  <c r="I175" i="13"/>
  <c r="M174" i="13"/>
  <c r="I174" i="13"/>
  <c r="M173" i="13"/>
  <c r="I173" i="13"/>
  <c r="M172" i="13"/>
  <c r="I172" i="13"/>
  <c r="M171" i="13"/>
  <c r="I171" i="13"/>
  <c r="M170" i="13"/>
  <c r="I170" i="13"/>
  <c r="M169" i="13"/>
  <c r="I169" i="13"/>
  <c r="M168" i="13"/>
  <c r="I168" i="13"/>
  <c r="M167" i="13"/>
  <c r="I167" i="13"/>
  <c r="M166" i="13"/>
  <c r="I166" i="13"/>
  <c r="M165" i="13"/>
  <c r="I165" i="13"/>
  <c r="M164" i="13"/>
  <c r="I164" i="13"/>
  <c r="M163" i="13"/>
  <c r="I163" i="13"/>
  <c r="M162" i="13"/>
  <c r="I162" i="13"/>
  <c r="M161" i="13"/>
  <c r="I161" i="13"/>
  <c r="M160" i="13"/>
  <c r="I160" i="13"/>
  <c r="M159" i="13"/>
  <c r="I159" i="13"/>
  <c r="M158" i="13"/>
  <c r="I158" i="13"/>
  <c r="M157" i="13"/>
  <c r="I157" i="13"/>
  <c r="M156" i="13"/>
  <c r="I156" i="13"/>
  <c r="M155" i="13"/>
  <c r="I155" i="13"/>
  <c r="M154" i="13"/>
  <c r="I154" i="13"/>
  <c r="M153" i="13"/>
  <c r="I153" i="13"/>
  <c r="M152" i="13"/>
  <c r="I152" i="13"/>
  <c r="M151" i="13"/>
  <c r="I151" i="13"/>
  <c r="M150" i="13"/>
  <c r="I150" i="13"/>
  <c r="M149" i="13"/>
  <c r="I149" i="13"/>
  <c r="M148" i="13"/>
  <c r="I148" i="13"/>
  <c r="M147" i="13"/>
  <c r="I147" i="13"/>
  <c r="M146" i="13"/>
  <c r="I146" i="13"/>
  <c r="M145" i="13"/>
  <c r="I145" i="13"/>
  <c r="M144" i="13"/>
  <c r="I144" i="13"/>
  <c r="M143" i="13"/>
  <c r="I143" i="13"/>
  <c r="M142" i="13"/>
  <c r="I142" i="13"/>
  <c r="M141" i="13"/>
  <c r="I141" i="13"/>
  <c r="M140" i="13"/>
  <c r="I140" i="13"/>
  <c r="M139" i="13"/>
  <c r="I139" i="13"/>
  <c r="M138" i="13"/>
  <c r="I138" i="13"/>
  <c r="M137" i="13"/>
  <c r="I137" i="13"/>
  <c r="M136" i="13"/>
  <c r="I136" i="13"/>
  <c r="M135" i="13"/>
  <c r="I135" i="13"/>
  <c r="M134" i="13"/>
  <c r="I134" i="13"/>
  <c r="M133" i="13"/>
  <c r="I133" i="13"/>
  <c r="M132" i="13"/>
  <c r="I132" i="13"/>
  <c r="M131" i="13"/>
  <c r="I131" i="13"/>
  <c r="M130" i="13"/>
  <c r="I130" i="13"/>
  <c r="M129" i="13"/>
  <c r="I129" i="13"/>
  <c r="M128" i="13"/>
  <c r="I128" i="13"/>
  <c r="M127" i="13"/>
  <c r="I127" i="13"/>
  <c r="M126" i="13"/>
  <c r="I126" i="13"/>
  <c r="M125" i="13"/>
  <c r="I125" i="13"/>
  <c r="M124" i="13"/>
  <c r="I124" i="13"/>
  <c r="M123" i="13"/>
  <c r="I123" i="13"/>
  <c r="M122" i="13"/>
  <c r="I122" i="13"/>
  <c r="M121" i="13"/>
  <c r="I121" i="13"/>
  <c r="M120" i="13"/>
  <c r="I120" i="13"/>
  <c r="M119" i="13"/>
  <c r="I119" i="13"/>
  <c r="M118" i="13"/>
  <c r="I118" i="13"/>
  <c r="M117" i="13"/>
  <c r="I117" i="13"/>
  <c r="M116" i="13"/>
  <c r="I116" i="13"/>
  <c r="M115" i="13"/>
  <c r="I115" i="13"/>
  <c r="M114" i="13"/>
  <c r="I114" i="13"/>
  <c r="M113" i="13"/>
  <c r="I113" i="13"/>
  <c r="M112" i="13"/>
  <c r="I112" i="13"/>
  <c r="M111" i="13"/>
  <c r="I111" i="13"/>
  <c r="M110" i="13"/>
  <c r="I110" i="13"/>
  <c r="M109" i="13"/>
  <c r="I109" i="13"/>
  <c r="M108" i="13"/>
  <c r="I108" i="13"/>
  <c r="M107" i="13"/>
  <c r="I107" i="13"/>
  <c r="M106" i="13"/>
  <c r="I106" i="13"/>
  <c r="M105" i="13"/>
  <c r="I105" i="13"/>
  <c r="M104" i="13"/>
  <c r="I104" i="13"/>
  <c r="M103" i="13"/>
  <c r="I103" i="13"/>
  <c r="M102" i="13"/>
  <c r="I102" i="13"/>
  <c r="M101" i="13"/>
  <c r="I101" i="13"/>
  <c r="M100" i="13"/>
  <c r="I100" i="13"/>
  <c r="M99" i="13"/>
  <c r="I99" i="13"/>
  <c r="M98" i="13"/>
  <c r="I98" i="13"/>
  <c r="M97" i="13"/>
  <c r="I97" i="13"/>
  <c r="M96" i="13"/>
  <c r="I96" i="13"/>
  <c r="M95" i="13"/>
  <c r="I95" i="13"/>
  <c r="M94" i="13"/>
  <c r="I94" i="13"/>
  <c r="M93" i="13"/>
  <c r="I93" i="13"/>
  <c r="M92" i="13"/>
  <c r="I92" i="13"/>
  <c r="M91" i="13"/>
  <c r="I91" i="13"/>
  <c r="M90" i="13"/>
  <c r="I90" i="13"/>
  <c r="M89" i="13"/>
  <c r="I89" i="13"/>
  <c r="M88" i="13"/>
  <c r="I88" i="13"/>
  <c r="M87" i="13"/>
  <c r="I87" i="13"/>
  <c r="M86" i="13"/>
  <c r="I86" i="13"/>
  <c r="M85" i="13"/>
  <c r="I85" i="13"/>
  <c r="M84" i="13"/>
  <c r="I84" i="13"/>
  <c r="M83" i="13"/>
  <c r="I83" i="13"/>
  <c r="M82" i="13"/>
  <c r="I82" i="13"/>
  <c r="M81" i="13"/>
  <c r="I81" i="13"/>
  <c r="M80" i="13"/>
  <c r="I80" i="13"/>
  <c r="M79" i="13"/>
  <c r="I79" i="13"/>
  <c r="M78" i="13"/>
  <c r="I78" i="13"/>
  <c r="M77" i="13"/>
  <c r="I77" i="13"/>
  <c r="M76" i="13"/>
  <c r="I76" i="13"/>
  <c r="M75" i="13"/>
  <c r="I75" i="13"/>
  <c r="M74" i="13"/>
  <c r="I74" i="13"/>
  <c r="M73" i="13"/>
  <c r="I73" i="13"/>
  <c r="M72" i="13"/>
  <c r="I72" i="13"/>
  <c r="M71" i="13"/>
  <c r="I71" i="13"/>
  <c r="M70" i="13"/>
  <c r="I70" i="13"/>
  <c r="M69" i="13"/>
  <c r="I69" i="13"/>
  <c r="M68" i="13"/>
  <c r="I68" i="13"/>
  <c r="M67" i="13"/>
  <c r="I67" i="13"/>
  <c r="M66" i="13"/>
  <c r="I66" i="13"/>
  <c r="M65" i="13"/>
  <c r="I65" i="13"/>
  <c r="M64" i="13"/>
  <c r="I64" i="13"/>
  <c r="M63" i="13"/>
  <c r="I63" i="13"/>
  <c r="M62" i="13"/>
  <c r="I62" i="13"/>
  <c r="M61" i="13"/>
  <c r="I61" i="13"/>
  <c r="M60" i="13"/>
  <c r="I60" i="13"/>
  <c r="M59" i="13"/>
  <c r="I59" i="13"/>
  <c r="M58" i="13"/>
  <c r="I58" i="13"/>
  <c r="M57" i="13"/>
  <c r="I57" i="13"/>
  <c r="M56" i="13"/>
  <c r="I56" i="13"/>
  <c r="M55" i="13"/>
  <c r="I55" i="13"/>
  <c r="M54" i="13"/>
  <c r="I54" i="13"/>
  <c r="M53" i="13"/>
  <c r="I53" i="13"/>
  <c r="M52" i="13"/>
  <c r="I52" i="13"/>
  <c r="M51" i="13"/>
  <c r="I51" i="13"/>
  <c r="M50" i="13"/>
  <c r="I50" i="13"/>
  <c r="M49" i="13"/>
  <c r="I49" i="13"/>
  <c r="M48" i="13"/>
  <c r="I48" i="13"/>
  <c r="M47" i="13"/>
  <c r="I47" i="13"/>
  <c r="M46" i="13"/>
  <c r="I46" i="13"/>
  <c r="M45" i="13"/>
  <c r="I45" i="13"/>
  <c r="M44" i="13"/>
  <c r="I44" i="13"/>
  <c r="M43" i="13"/>
  <c r="I43" i="13"/>
  <c r="M42" i="13"/>
  <c r="I42" i="13"/>
  <c r="M41" i="13"/>
  <c r="I41" i="13"/>
  <c r="M40" i="13"/>
  <c r="I40" i="13"/>
  <c r="M39" i="13"/>
  <c r="I39" i="13"/>
  <c r="M38" i="13"/>
  <c r="I38" i="13"/>
  <c r="M37" i="13"/>
  <c r="I37" i="13"/>
  <c r="M36" i="13"/>
  <c r="I36" i="13"/>
  <c r="M35" i="13"/>
  <c r="I35" i="13"/>
  <c r="M34" i="13"/>
  <c r="I34" i="13"/>
  <c r="M33" i="13"/>
  <c r="I33" i="13"/>
  <c r="M32" i="13"/>
  <c r="I32" i="13"/>
  <c r="M31" i="13"/>
  <c r="I31" i="13"/>
  <c r="M30" i="13"/>
  <c r="I30" i="13"/>
  <c r="M29" i="13"/>
  <c r="I29" i="13"/>
  <c r="M28" i="13"/>
  <c r="I28" i="13"/>
  <c r="M27" i="13"/>
  <c r="I27" i="13"/>
  <c r="M26" i="13"/>
  <c r="I26" i="13"/>
  <c r="M25" i="13"/>
  <c r="I25" i="13"/>
  <c r="M24" i="13"/>
  <c r="I24" i="13"/>
  <c r="M23" i="13"/>
  <c r="I23" i="13"/>
  <c r="M22" i="13"/>
  <c r="I22" i="13"/>
  <c r="M21" i="13"/>
  <c r="I21" i="13"/>
  <c r="M20" i="13"/>
  <c r="I20" i="13"/>
  <c r="M19" i="13"/>
  <c r="I19" i="13"/>
  <c r="M18" i="13"/>
  <c r="I18" i="13"/>
  <c r="M17" i="13"/>
  <c r="I17" i="13"/>
  <c r="M16" i="13"/>
  <c r="I16" i="13"/>
  <c r="M15" i="13"/>
  <c r="I15" i="13"/>
  <c r="M14" i="13"/>
  <c r="I14" i="13"/>
  <c r="M13" i="13"/>
  <c r="I13" i="13"/>
  <c r="M12" i="13"/>
  <c r="I12" i="13"/>
  <c r="M11" i="13"/>
  <c r="I11" i="13"/>
  <c r="M10" i="13"/>
  <c r="I10" i="13"/>
  <c r="M9" i="13"/>
  <c r="I9" i="13"/>
  <c r="M8" i="13"/>
  <c r="I8" i="13"/>
  <c r="M7" i="13"/>
  <c r="I7" i="13"/>
  <c r="M6" i="13"/>
  <c r="I6" i="13"/>
  <c r="M5" i="13"/>
  <c r="I5" i="13"/>
  <c r="M4" i="13"/>
  <c r="I4" i="13"/>
  <c r="M3" i="13"/>
  <c r="I3" i="13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H381" i="8"/>
  <c r="G381" i="8"/>
  <c r="F381" i="8"/>
  <c r="E381" i="8"/>
  <c r="D381" i="8"/>
  <c r="C381" i="8"/>
  <c r="B381" i="8"/>
  <c r="H380" i="8"/>
  <c r="G380" i="8"/>
  <c r="F380" i="8"/>
  <c r="E380" i="8"/>
  <c r="D380" i="8"/>
  <c r="C380" i="8"/>
  <c r="B380" i="8"/>
  <c r="H379" i="8"/>
  <c r="G379" i="8"/>
  <c r="F379" i="8"/>
  <c r="E379" i="8"/>
  <c r="D379" i="8"/>
  <c r="C379" i="8"/>
  <c r="B379" i="8"/>
  <c r="H378" i="8"/>
  <c r="G378" i="8"/>
  <c r="F378" i="8"/>
  <c r="E378" i="8"/>
  <c r="D378" i="8"/>
  <c r="C378" i="8"/>
  <c r="B378" i="8"/>
  <c r="H377" i="8"/>
  <c r="G377" i="8"/>
  <c r="F377" i="8"/>
  <c r="E377" i="8"/>
  <c r="D377" i="8"/>
  <c r="C377" i="8"/>
  <c r="B377" i="8"/>
  <c r="H376" i="8"/>
  <c r="G376" i="8"/>
  <c r="F376" i="8"/>
  <c r="E376" i="8"/>
  <c r="D376" i="8"/>
  <c r="C376" i="8"/>
  <c r="B376" i="8"/>
  <c r="H375" i="8"/>
  <c r="G375" i="8"/>
  <c r="F375" i="8"/>
  <c r="E375" i="8"/>
  <c r="D375" i="8"/>
  <c r="C375" i="8"/>
  <c r="B375" i="8"/>
  <c r="H374" i="8"/>
  <c r="G374" i="8"/>
  <c r="F374" i="8"/>
  <c r="E374" i="8"/>
  <c r="D374" i="8"/>
  <c r="C374" i="8"/>
  <c r="B374" i="8"/>
  <c r="H373" i="8"/>
  <c r="G373" i="8"/>
  <c r="F373" i="8"/>
  <c r="E373" i="8"/>
  <c r="D373" i="8"/>
  <c r="C373" i="8"/>
  <c r="B373" i="8"/>
  <c r="H372" i="8"/>
  <c r="G372" i="8"/>
  <c r="F372" i="8"/>
  <c r="E372" i="8"/>
  <c r="D372" i="8"/>
  <c r="C372" i="8"/>
  <c r="B372" i="8"/>
  <c r="H371" i="8"/>
  <c r="G371" i="8"/>
  <c r="F371" i="8"/>
  <c r="E371" i="8"/>
  <c r="D371" i="8"/>
  <c r="C371" i="8"/>
  <c r="B371" i="8"/>
  <c r="H370" i="8"/>
  <c r="G370" i="8"/>
  <c r="F370" i="8"/>
  <c r="E370" i="8"/>
  <c r="D370" i="8"/>
  <c r="C370" i="8"/>
  <c r="B370" i="8"/>
  <c r="H369" i="8"/>
  <c r="G369" i="8"/>
  <c r="F369" i="8"/>
  <c r="E369" i="8"/>
  <c r="D369" i="8"/>
  <c r="C369" i="8"/>
  <c r="B369" i="8"/>
  <c r="H368" i="8"/>
  <c r="G368" i="8"/>
  <c r="F368" i="8"/>
  <c r="E368" i="8"/>
  <c r="D368" i="8"/>
  <c r="C368" i="8"/>
  <c r="B368" i="8"/>
  <c r="H367" i="8"/>
  <c r="G367" i="8"/>
  <c r="F367" i="8"/>
  <c r="E367" i="8"/>
  <c r="D367" i="8"/>
  <c r="C367" i="8"/>
  <c r="B367" i="8"/>
  <c r="H366" i="8"/>
  <c r="G366" i="8"/>
  <c r="F366" i="8"/>
  <c r="E366" i="8"/>
  <c r="D366" i="8"/>
  <c r="C366" i="8"/>
  <c r="B366" i="8"/>
  <c r="H365" i="8"/>
  <c r="G365" i="8"/>
  <c r="F365" i="8"/>
  <c r="E365" i="8"/>
  <c r="D365" i="8"/>
  <c r="C365" i="8"/>
  <c r="B365" i="8"/>
  <c r="H364" i="8"/>
  <c r="G364" i="8"/>
  <c r="F364" i="8"/>
  <c r="E364" i="8"/>
  <c r="D364" i="8"/>
  <c r="C364" i="8"/>
  <c r="B364" i="8"/>
  <c r="H363" i="8"/>
  <c r="G363" i="8"/>
  <c r="F363" i="8"/>
  <c r="E363" i="8"/>
  <c r="D363" i="8"/>
  <c r="C363" i="8"/>
  <c r="B363" i="8"/>
  <c r="H362" i="8"/>
  <c r="G362" i="8"/>
  <c r="F362" i="8"/>
  <c r="E362" i="8"/>
  <c r="D362" i="8"/>
  <c r="C362" i="8"/>
  <c r="B362" i="8"/>
  <c r="H361" i="8"/>
  <c r="G361" i="8"/>
  <c r="F361" i="8"/>
  <c r="E361" i="8"/>
  <c r="D361" i="8"/>
  <c r="C361" i="8"/>
  <c r="B361" i="8"/>
  <c r="A360" i="8"/>
  <c r="E360" i="8" s="1"/>
  <c r="A359" i="8"/>
  <c r="E359" i="8" s="1"/>
  <c r="A358" i="8"/>
  <c r="E358" i="8" s="1"/>
  <c r="A357" i="8"/>
  <c r="E357" i="8" s="1"/>
  <c r="A356" i="8"/>
  <c r="E356" i="8" s="1"/>
  <c r="A355" i="8"/>
  <c r="E355" i="8" s="1"/>
  <c r="A354" i="8"/>
  <c r="E354" i="8" s="1"/>
  <c r="A353" i="8"/>
  <c r="E353" i="8" s="1"/>
  <c r="A352" i="8"/>
  <c r="E352" i="8" s="1"/>
  <c r="A351" i="8"/>
  <c r="E351" i="8" s="1"/>
  <c r="A350" i="8"/>
  <c r="E350" i="8" s="1"/>
  <c r="A349" i="8"/>
  <c r="A348" i="8"/>
  <c r="E348" i="8" s="1"/>
  <c r="A347" i="8"/>
  <c r="A346" i="8"/>
  <c r="E346" i="8" s="1"/>
  <c r="A345" i="8"/>
  <c r="A344" i="8"/>
  <c r="E344" i="8" s="1"/>
  <c r="A343" i="8"/>
  <c r="B343" i="8" s="1"/>
  <c r="A342" i="8"/>
  <c r="E342" i="8" s="1"/>
  <c r="A341" i="8"/>
  <c r="C341" i="8" s="1"/>
  <c r="A340" i="8"/>
  <c r="A339" i="8"/>
  <c r="B339" i="8" s="1"/>
  <c r="A338" i="8"/>
  <c r="E338" i="8" s="1"/>
  <c r="A337" i="8"/>
  <c r="A336" i="8"/>
  <c r="G336" i="8" s="1"/>
  <c r="A335" i="8"/>
  <c r="A334" i="8"/>
  <c r="B334" i="8" s="1"/>
  <c r="A333" i="8"/>
  <c r="F333" i="8" s="1"/>
  <c r="A332" i="8"/>
  <c r="F332" i="8" s="1"/>
  <c r="A331" i="8"/>
  <c r="A330" i="8"/>
  <c r="B330" i="8" s="1"/>
  <c r="A329" i="8"/>
  <c r="C329" i="8" s="1"/>
  <c r="A328" i="8"/>
  <c r="A327" i="8"/>
  <c r="A326" i="8"/>
  <c r="C326" i="8" s="1"/>
  <c r="A325" i="8"/>
  <c r="E325" i="8" s="1"/>
  <c r="A324" i="8"/>
  <c r="A323" i="8"/>
  <c r="E323" i="8" s="1"/>
  <c r="A322" i="8"/>
  <c r="C322" i="8" s="1"/>
  <c r="A321" i="8"/>
  <c r="E321" i="8" s="1"/>
  <c r="A320" i="8"/>
  <c r="C320" i="8" s="1"/>
  <c r="A319" i="8"/>
  <c r="A318" i="8"/>
  <c r="A317" i="8"/>
  <c r="E317" i="8" s="1"/>
  <c r="A316" i="8"/>
  <c r="A315" i="8"/>
  <c r="E315" i="8" s="1"/>
  <c r="A314" i="8"/>
  <c r="F314" i="8" s="1"/>
  <c r="A313" i="8"/>
  <c r="F313" i="8" s="1"/>
  <c r="A312" i="8"/>
  <c r="G312" i="8" s="1"/>
  <c r="A311" i="8"/>
  <c r="A310" i="8"/>
  <c r="B310" i="8" s="1"/>
  <c r="A309" i="8"/>
  <c r="D309" i="8" s="1"/>
  <c r="A308" i="8"/>
  <c r="A307" i="8"/>
  <c r="A306" i="8"/>
  <c r="F306" i="8" s="1"/>
  <c r="A305" i="8"/>
  <c r="D305" i="8" s="1"/>
  <c r="A304" i="8"/>
  <c r="A303" i="8"/>
  <c r="A302" i="8"/>
  <c r="F302" i="8" s="1"/>
  <c r="A301" i="8"/>
  <c r="D301" i="8" s="1"/>
  <c r="A300" i="8"/>
  <c r="A299" i="8"/>
  <c r="A298" i="8"/>
  <c r="F298" i="8" s="1"/>
  <c r="A297" i="8"/>
  <c r="D297" i="8" s="1"/>
  <c r="A296" i="8"/>
  <c r="A295" i="8"/>
  <c r="A294" i="8"/>
  <c r="F294" i="8" s="1"/>
  <c r="A293" i="8"/>
  <c r="D293" i="8" s="1"/>
  <c r="A292" i="8"/>
  <c r="A291" i="8"/>
  <c r="A290" i="8"/>
  <c r="F290" i="8" s="1"/>
  <c r="A289" i="8"/>
  <c r="D289" i="8" s="1"/>
  <c r="A288" i="8"/>
  <c r="A287" i="8"/>
  <c r="A286" i="8"/>
  <c r="F286" i="8" s="1"/>
  <c r="A285" i="8"/>
  <c r="D285" i="8" s="1"/>
  <c r="A284" i="8"/>
  <c r="A283" i="8"/>
  <c r="A282" i="8"/>
  <c r="F282" i="8" s="1"/>
  <c r="A281" i="8"/>
  <c r="D281" i="8" s="1"/>
  <c r="A280" i="8"/>
  <c r="A279" i="8"/>
  <c r="A278" i="8"/>
  <c r="F278" i="8" s="1"/>
  <c r="A277" i="8"/>
  <c r="D277" i="8" s="1"/>
  <c r="A276" i="8"/>
  <c r="A275" i="8"/>
  <c r="A274" i="8"/>
  <c r="F274" i="8" s="1"/>
  <c r="A273" i="8"/>
  <c r="A272" i="8"/>
  <c r="A271" i="8"/>
  <c r="A270" i="8"/>
  <c r="A269" i="8"/>
  <c r="D269" i="8" s="1"/>
  <c r="A268" i="8"/>
  <c r="A267" i="8"/>
  <c r="A266" i="8"/>
  <c r="F266" i="8" s="1"/>
  <c r="A265" i="8"/>
  <c r="A264" i="8"/>
  <c r="A263" i="8"/>
  <c r="A262" i="8"/>
  <c r="A261" i="8"/>
  <c r="D261" i="8" s="1"/>
  <c r="A260" i="8"/>
  <c r="A259" i="8"/>
  <c r="A258" i="8"/>
  <c r="F258" i="8" s="1"/>
  <c r="A257" i="8"/>
  <c r="A256" i="8"/>
  <c r="A255" i="8"/>
  <c r="A254" i="8"/>
  <c r="A253" i="8"/>
  <c r="D253" i="8" s="1"/>
  <c r="A252" i="8"/>
  <c r="A251" i="8"/>
  <c r="A250" i="8"/>
  <c r="F250" i="8" s="1"/>
  <c r="A249" i="8"/>
  <c r="A248" i="8"/>
  <c r="A247" i="8"/>
  <c r="A246" i="8"/>
  <c r="A245" i="8"/>
  <c r="D245" i="8" s="1"/>
  <c r="A244" i="8"/>
  <c r="A243" i="8"/>
  <c r="G243" i="8" s="1"/>
  <c r="A242" i="8"/>
  <c r="F242" i="8" s="1"/>
  <c r="A241" i="8"/>
  <c r="D241" i="8" s="1"/>
  <c r="A240" i="8"/>
  <c r="A239" i="8"/>
  <c r="E239" i="8" s="1"/>
  <c r="A238" i="8"/>
  <c r="A237" i="8"/>
  <c r="A236" i="8"/>
  <c r="F236" i="8" s="1"/>
  <c r="A235" i="8"/>
  <c r="E235" i="8" s="1"/>
  <c r="A234" i="8"/>
  <c r="F234" i="8" s="1"/>
  <c r="A233" i="8"/>
  <c r="A232" i="8"/>
  <c r="A231" i="8"/>
  <c r="E231" i="8" s="1"/>
  <c r="A230" i="8"/>
  <c r="G230" i="8" s="1"/>
  <c r="A229" i="8"/>
  <c r="A228" i="8"/>
  <c r="F228" i="8" s="1"/>
  <c r="A227" i="8"/>
  <c r="E227" i="8" s="1"/>
  <c r="A226" i="8"/>
  <c r="F226" i="8" s="1"/>
  <c r="A225" i="8"/>
  <c r="F225" i="8" s="1"/>
  <c r="A224" i="8"/>
  <c r="H224" i="8" s="1"/>
  <c r="A223" i="8"/>
  <c r="A222" i="8"/>
  <c r="A221" i="8"/>
  <c r="E221" i="8" s="1"/>
  <c r="A220" i="8"/>
  <c r="F220" i="8" s="1"/>
  <c r="A219" i="8"/>
  <c r="D219" i="8" s="1"/>
  <c r="A218" i="8"/>
  <c r="A217" i="8"/>
  <c r="E217" i="8" s="1"/>
  <c r="A216" i="8"/>
  <c r="B216" i="8" s="1"/>
  <c r="A215" i="8"/>
  <c r="A214" i="8"/>
  <c r="G214" i="8" s="1"/>
  <c r="A213" i="8"/>
  <c r="A212" i="8"/>
  <c r="G212" i="8" s="1"/>
  <c r="A211" i="8"/>
  <c r="D211" i="8" s="1"/>
  <c r="A210" i="8"/>
  <c r="C210" i="8" s="1"/>
  <c r="A209" i="8"/>
  <c r="C209" i="8" s="1"/>
  <c r="A208" i="8"/>
  <c r="A207" i="8"/>
  <c r="H207" i="8" s="1"/>
  <c r="A206" i="8"/>
  <c r="E206" i="8" s="1"/>
  <c r="A205" i="8"/>
  <c r="A204" i="8"/>
  <c r="A203" i="8"/>
  <c r="D203" i="8" s="1"/>
  <c r="A202" i="8"/>
  <c r="C202" i="8" s="1"/>
  <c r="A201" i="8"/>
  <c r="C201" i="8" s="1"/>
  <c r="A200" i="8"/>
  <c r="F200" i="8" s="1"/>
  <c r="A199" i="8"/>
  <c r="H199" i="8" s="1"/>
  <c r="A198" i="8"/>
  <c r="E198" i="8" s="1"/>
  <c r="A197" i="8"/>
  <c r="F197" i="8" s="1"/>
  <c r="A196" i="8"/>
  <c r="G196" i="8" s="1"/>
  <c r="A195" i="8"/>
  <c r="A194" i="8"/>
  <c r="H194" i="8" s="1"/>
  <c r="A193" i="8"/>
  <c r="C193" i="8" s="1"/>
  <c r="A192" i="8"/>
  <c r="F192" i="8" s="1"/>
  <c r="A191" i="8"/>
  <c r="E191" i="8" s="1"/>
  <c r="A190" i="8"/>
  <c r="H190" i="8" s="1"/>
  <c r="A189" i="8"/>
  <c r="A188" i="8"/>
  <c r="A187" i="8"/>
  <c r="B187" i="8" s="1"/>
  <c r="A186" i="8"/>
  <c r="A185" i="8"/>
  <c r="A184" i="8"/>
  <c r="C184" i="8" s="1"/>
  <c r="A183" i="8"/>
  <c r="A182" i="8"/>
  <c r="H182" i="8" s="1"/>
  <c r="A181" i="8"/>
  <c r="D181" i="8" s="1"/>
  <c r="A180" i="8"/>
  <c r="A179" i="8"/>
  <c r="G179" i="8" s="1"/>
  <c r="A178" i="8"/>
  <c r="A177" i="8"/>
  <c r="A176" i="8"/>
  <c r="C176" i="8" s="1"/>
  <c r="A175" i="8"/>
  <c r="A174" i="8"/>
  <c r="H174" i="8" s="1"/>
  <c r="A173" i="8"/>
  <c r="F173" i="8" s="1"/>
  <c r="A172" i="8"/>
  <c r="A171" i="8"/>
  <c r="H171" i="8" s="1"/>
  <c r="A170" i="8"/>
  <c r="A169" i="8"/>
  <c r="A168" i="8"/>
  <c r="C168" i="8" s="1"/>
  <c r="A167" i="8"/>
  <c r="B167" i="8" s="1"/>
  <c r="A166" i="8"/>
  <c r="H166" i="8" s="1"/>
  <c r="A165" i="8"/>
  <c r="F165" i="8" s="1"/>
  <c r="A164" i="8"/>
  <c r="A163" i="8"/>
  <c r="G163" i="8" s="1"/>
  <c r="A162" i="8"/>
  <c r="A161" i="8"/>
  <c r="A160" i="8"/>
  <c r="A159" i="8"/>
  <c r="G159" i="8" s="1"/>
  <c r="A158" i="8"/>
  <c r="H158" i="8" s="1"/>
  <c r="A157" i="8"/>
  <c r="A156" i="8"/>
  <c r="A155" i="8"/>
  <c r="B155" i="8" s="1"/>
  <c r="A154" i="8"/>
  <c r="A153" i="8"/>
  <c r="F153" i="8" s="1"/>
  <c r="A152" i="8"/>
  <c r="C152" i="8" s="1"/>
  <c r="A151" i="8"/>
  <c r="H151" i="8" s="1"/>
  <c r="A150" i="8"/>
  <c r="F150" i="8" s="1"/>
  <c r="A149" i="8"/>
  <c r="C149" i="8" s="1"/>
  <c r="A148" i="8"/>
  <c r="H148" i="8" s="1"/>
  <c r="A147" i="8"/>
  <c r="H147" i="8" s="1"/>
  <c r="A146" i="8"/>
  <c r="G146" i="8" s="1"/>
  <c r="A145" i="8"/>
  <c r="C145" i="8" s="1"/>
  <c r="A144" i="8"/>
  <c r="A143" i="8"/>
  <c r="H143" i="8" s="1"/>
  <c r="A142" i="8"/>
  <c r="F142" i="8" s="1"/>
  <c r="A141" i="8"/>
  <c r="A140" i="8"/>
  <c r="E140" i="8" s="1"/>
  <c r="A139" i="8"/>
  <c r="B139" i="8" s="1"/>
  <c r="A138" i="8"/>
  <c r="A137" i="8"/>
  <c r="F137" i="8" s="1"/>
  <c r="A136" i="8"/>
  <c r="E136" i="8" s="1"/>
  <c r="A135" i="8"/>
  <c r="B135" i="8" s="1"/>
  <c r="A134" i="8"/>
  <c r="A133" i="8"/>
  <c r="F133" i="8" s="1"/>
  <c r="A132" i="8"/>
  <c r="E132" i="8" s="1"/>
  <c r="A131" i="8"/>
  <c r="B131" i="8" s="1"/>
  <c r="A130" i="8"/>
  <c r="D130" i="8" s="1"/>
  <c r="A129" i="8"/>
  <c r="C129" i="8" s="1"/>
  <c r="A128" i="8"/>
  <c r="A127" i="8"/>
  <c r="B127" i="8" s="1"/>
  <c r="A126" i="8"/>
  <c r="G126" i="8" s="1"/>
  <c r="A125" i="8"/>
  <c r="C125" i="8" s="1"/>
  <c r="A124" i="8"/>
  <c r="G124" i="8" s="1"/>
  <c r="A123" i="8"/>
  <c r="A122" i="8"/>
  <c r="G122" i="8" s="1"/>
  <c r="A121" i="8"/>
  <c r="F121" i="8" s="1"/>
  <c r="A120" i="8"/>
  <c r="A119" i="8"/>
  <c r="A118" i="8"/>
  <c r="A117" i="8"/>
  <c r="E117" i="8" s="1"/>
  <c r="A116" i="8"/>
  <c r="H116" i="8" s="1"/>
  <c r="A115" i="8"/>
  <c r="E115" i="8" s="1"/>
  <c r="A114" i="8"/>
  <c r="H114" i="8" s="1"/>
  <c r="A113" i="8"/>
  <c r="D113" i="8" s="1"/>
  <c r="A112" i="8"/>
  <c r="H112" i="8" s="1"/>
  <c r="A111" i="8"/>
  <c r="A110" i="8"/>
  <c r="F110" i="8" s="1"/>
  <c r="A109" i="8"/>
  <c r="G109" i="8" s="1"/>
  <c r="A108" i="8"/>
  <c r="F108" i="8" s="1"/>
  <c r="A107" i="8"/>
  <c r="A106" i="8"/>
  <c r="F106" i="8" s="1"/>
  <c r="A105" i="8"/>
  <c r="E105" i="8" s="1"/>
  <c r="A104" i="8"/>
  <c r="F104" i="8" s="1"/>
  <c r="A103" i="8"/>
  <c r="D103" i="8" s="1"/>
  <c r="A102" i="8"/>
  <c r="A101" i="8"/>
  <c r="E101" i="8" s="1"/>
  <c r="A100" i="8"/>
  <c r="C100" i="8" s="1"/>
  <c r="A99" i="8"/>
  <c r="E99" i="8" s="1"/>
  <c r="A98" i="8"/>
  <c r="C98" i="8" s="1"/>
  <c r="A97" i="8"/>
  <c r="A96" i="8"/>
  <c r="A95" i="8"/>
  <c r="D95" i="8" s="1"/>
  <c r="A94" i="8"/>
  <c r="H94" i="8" s="1"/>
  <c r="A93" i="8"/>
  <c r="E93" i="8" s="1"/>
  <c r="A92" i="8"/>
  <c r="A91" i="8"/>
  <c r="A90" i="8"/>
  <c r="D90" i="8" s="1"/>
  <c r="A89" i="8"/>
  <c r="E89" i="8" s="1"/>
  <c r="A88" i="8"/>
  <c r="B88" i="8" s="1"/>
  <c r="A87" i="8"/>
  <c r="D87" i="8" s="1"/>
  <c r="A86" i="8"/>
  <c r="H86" i="8" s="1"/>
  <c r="A85" i="8"/>
  <c r="D85" i="8" s="1"/>
  <c r="A84" i="8"/>
  <c r="A83" i="8"/>
  <c r="A82" i="8"/>
  <c r="A81" i="8"/>
  <c r="A80" i="8"/>
  <c r="H80" i="8" s="1"/>
  <c r="A79" i="8"/>
  <c r="A78" i="8"/>
  <c r="C78" i="8" s="1"/>
  <c r="A77" i="8"/>
  <c r="E77" i="8" s="1"/>
  <c r="A76" i="8"/>
  <c r="G76" i="8" s="1"/>
  <c r="A75" i="8"/>
  <c r="A74" i="8"/>
  <c r="A73" i="8"/>
  <c r="E73" i="8" s="1"/>
  <c r="A72" i="8"/>
  <c r="B72" i="8" s="1"/>
  <c r="A71" i="8"/>
  <c r="D71" i="8" s="1"/>
  <c r="A70" i="8"/>
  <c r="C70" i="8" s="1"/>
  <c r="A69" i="8"/>
  <c r="C69" i="8" s="1"/>
  <c r="A68" i="8"/>
  <c r="A67" i="8"/>
  <c r="G67" i="8" s="1"/>
  <c r="A66" i="8"/>
  <c r="F66" i="8" s="1"/>
  <c r="A65" i="8"/>
  <c r="D65" i="8" s="1"/>
  <c r="A64" i="8"/>
  <c r="C64" i="8" s="1"/>
  <c r="A63" i="8"/>
  <c r="F63" i="8" s="1"/>
  <c r="A62" i="8"/>
  <c r="F62" i="8" s="1"/>
  <c r="A61" i="8"/>
  <c r="E61" i="8" s="1"/>
  <c r="A60" i="8"/>
  <c r="G60" i="8" s="1"/>
  <c r="A59" i="8"/>
  <c r="A58" i="8"/>
  <c r="F58" i="8" s="1"/>
  <c r="A57" i="8"/>
  <c r="E57" i="8" s="1"/>
  <c r="A56" i="8"/>
  <c r="B56" i="8" s="1"/>
  <c r="A55" i="8"/>
  <c r="D55" i="8" s="1"/>
  <c r="A54" i="8"/>
  <c r="C54" i="8" s="1"/>
  <c r="A53" i="8"/>
  <c r="E53" i="8" s="1"/>
  <c r="A52" i="8"/>
  <c r="G52" i="8" s="1"/>
  <c r="A51" i="8"/>
  <c r="A50" i="8"/>
  <c r="F50" i="8" s="1"/>
  <c r="A49" i="8"/>
  <c r="E49" i="8" s="1"/>
  <c r="A48" i="8"/>
  <c r="H48" i="8" s="1"/>
  <c r="A47" i="8"/>
  <c r="F47" i="8" s="1"/>
  <c r="A46" i="8"/>
  <c r="F46" i="8" s="1"/>
  <c r="A45" i="8"/>
  <c r="C45" i="8" s="1"/>
  <c r="A44" i="8"/>
  <c r="A43" i="8"/>
  <c r="A42" i="8"/>
  <c r="D42" i="8" s="1"/>
  <c r="A41" i="8"/>
  <c r="H41" i="8" s="1"/>
  <c r="A40" i="8"/>
  <c r="A39" i="8"/>
  <c r="A38" i="8"/>
  <c r="A37" i="8"/>
  <c r="E37" i="8" s="1"/>
  <c r="A36" i="8"/>
  <c r="A35" i="8"/>
  <c r="G35" i="8" s="1"/>
  <c r="A34" i="8"/>
  <c r="C34" i="8" s="1"/>
  <c r="A33" i="8"/>
  <c r="A32" i="8"/>
  <c r="H32" i="8" s="1"/>
  <c r="A31" i="8"/>
  <c r="A30" i="8"/>
  <c r="F30" i="8" s="1"/>
  <c r="A29" i="8"/>
  <c r="F29" i="8" s="1"/>
  <c r="A28" i="8"/>
  <c r="H28" i="8" s="1"/>
  <c r="A27" i="8"/>
  <c r="A26" i="8"/>
  <c r="A25" i="8"/>
  <c r="A24" i="8"/>
  <c r="B24" i="8" s="1"/>
  <c r="A23" i="8"/>
  <c r="C23" i="8" s="1"/>
  <c r="A22" i="8"/>
  <c r="A21" i="8"/>
  <c r="C21" i="8" s="1"/>
  <c r="A20" i="8"/>
  <c r="B20" i="8" s="1"/>
  <c r="A19" i="8"/>
  <c r="B19" i="8" s="1"/>
  <c r="A18" i="8"/>
  <c r="F18" i="8" s="1"/>
  <c r="A17" i="8"/>
  <c r="A16" i="8"/>
  <c r="B16" i="8" s="1"/>
  <c r="A15" i="8"/>
  <c r="G15" i="8" s="1"/>
  <c r="A14" i="8"/>
  <c r="F14" i="8" s="1"/>
  <c r="A13" i="8"/>
  <c r="G13" i="8" s="1"/>
  <c r="A12" i="8"/>
  <c r="B12" i="8" s="1"/>
  <c r="A11" i="8"/>
  <c r="A10" i="8"/>
  <c r="G10" i="8" s="1"/>
  <c r="A9" i="8"/>
  <c r="G9" i="8" s="1"/>
  <c r="A8" i="8"/>
  <c r="E8" i="8" s="1"/>
  <c r="A7" i="8"/>
  <c r="G7" i="8" s="1"/>
  <c r="A6" i="8"/>
  <c r="G6" i="8" s="1"/>
  <c r="A5" i="8"/>
  <c r="C5" i="8" s="1"/>
  <c r="A4" i="8"/>
  <c r="B4" i="8" s="1"/>
  <c r="A3" i="8"/>
  <c r="A2" i="8"/>
  <c r="I379" i="7"/>
  <c r="H379" i="7"/>
  <c r="G379" i="7"/>
  <c r="F379" i="7"/>
  <c r="E379" i="7"/>
  <c r="D379" i="7"/>
  <c r="C379" i="7"/>
  <c r="B379" i="7"/>
  <c r="I378" i="7"/>
  <c r="H378" i="7"/>
  <c r="G378" i="7"/>
  <c r="F378" i="7"/>
  <c r="E378" i="7"/>
  <c r="D378" i="7"/>
  <c r="C378" i="7"/>
  <c r="B378" i="7"/>
  <c r="I377" i="7"/>
  <c r="H377" i="7"/>
  <c r="G377" i="7"/>
  <c r="F377" i="7"/>
  <c r="E377" i="7"/>
  <c r="D377" i="7"/>
  <c r="C377" i="7"/>
  <c r="B377" i="7"/>
  <c r="I376" i="7"/>
  <c r="H376" i="7"/>
  <c r="G376" i="7"/>
  <c r="F376" i="7"/>
  <c r="E376" i="7"/>
  <c r="D376" i="7"/>
  <c r="C376" i="7"/>
  <c r="B376" i="7"/>
  <c r="I375" i="7"/>
  <c r="H375" i="7"/>
  <c r="G375" i="7"/>
  <c r="F375" i="7"/>
  <c r="E375" i="7"/>
  <c r="D375" i="7"/>
  <c r="C375" i="7"/>
  <c r="B375" i="7"/>
  <c r="I374" i="7"/>
  <c r="H374" i="7"/>
  <c r="G374" i="7"/>
  <c r="F374" i="7"/>
  <c r="E374" i="7"/>
  <c r="D374" i="7"/>
  <c r="C374" i="7"/>
  <c r="B374" i="7"/>
  <c r="I373" i="7"/>
  <c r="H373" i="7"/>
  <c r="G373" i="7"/>
  <c r="F373" i="7"/>
  <c r="E373" i="7"/>
  <c r="D373" i="7"/>
  <c r="C373" i="7"/>
  <c r="B373" i="7"/>
  <c r="I372" i="7"/>
  <c r="H372" i="7"/>
  <c r="G372" i="7"/>
  <c r="F372" i="7"/>
  <c r="E372" i="7"/>
  <c r="D372" i="7"/>
  <c r="C372" i="7"/>
  <c r="B372" i="7"/>
  <c r="I371" i="7"/>
  <c r="H371" i="7"/>
  <c r="G371" i="7"/>
  <c r="F371" i="7"/>
  <c r="E371" i="7"/>
  <c r="D371" i="7"/>
  <c r="C371" i="7"/>
  <c r="B371" i="7"/>
  <c r="I370" i="7"/>
  <c r="H370" i="7"/>
  <c r="G370" i="7"/>
  <c r="F370" i="7"/>
  <c r="E370" i="7"/>
  <c r="D370" i="7"/>
  <c r="C370" i="7"/>
  <c r="B370" i="7"/>
  <c r="I369" i="7"/>
  <c r="H369" i="7"/>
  <c r="G369" i="7"/>
  <c r="F369" i="7"/>
  <c r="E369" i="7"/>
  <c r="D369" i="7"/>
  <c r="C369" i="7"/>
  <c r="B369" i="7"/>
  <c r="I368" i="7"/>
  <c r="H368" i="7"/>
  <c r="G368" i="7"/>
  <c r="F368" i="7"/>
  <c r="E368" i="7"/>
  <c r="D368" i="7"/>
  <c r="C368" i="7"/>
  <c r="B368" i="7"/>
  <c r="I367" i="7"/>
  <c r="H367" i="7"/>
  <c r="G367" i="7"/>
  <c r="F367" i="7"/>
  <c r="E367" i="7"/>
  <c r="D367" i="7"/>
  <c r="C367" i="7"/>
  <c r="B367" i="7"/>
  <c r="I366" i="7"/>
  <c r="H366" i="7"/>
  <c r="G366" i="7"/>
  <c r="F366" i="7"/>
  <c r="E366" i="7"/>
  <c r="D366" i="7"/>
  <c r="C366" i="7"/>
  <c r="B366" i="7"/>
  <c r="I365" i="7"/>
  <c r="H365" i="7"/>
  <c r="G365" i="7"/>
  <c r="F365" i="7"/>
  <c r="E365" i="7"/>
  <c r="D365" i="7"/>
  <c r="C365" i="7"/>
  <c r="B365" i="7"/>
  <c r="I364" i="7"/>
  <c r="H364" i="7"/>
  <c r="G364" i="7"/>
  <c r="F364" i="7"/>
  <c r="E364" i="7"/>
  <c r="D364" i="7"/>
  <c r="C364" i="7"/>
  <c r="B364" i="7"/>
  <c r="I363" i="7"/>
  <c r="H363" i="7"/>
  <c r="G363" i="7"/>
  <c r="F363" i="7"/>
  <c r="E363" i="7"/>
  <c r="D363" i="7"/>
  <c r="C363" i="7"/>
  <c r="B363" i="7"/>
  <c r="I362" i="7"/>
  <c r="H362" i="7"/>
  <c r="G362" i="7"/>
  <c r="F362" i="7"/>
  <c r="E362" i="7"/>
  <c r="D362" i="7"/>
  <c r="C362" i="7"/>
  <c r="B362" i="7"/>
  <c r="I361" i="7"/>
  <c r="H361" i="7"/>
  <c r="G361" i="7"/>
  <c r="F361" i="7"/>
  <c r="E361" i="7"/>
  <c r="D361" i="7"/>
  <c r="C361" i="7"/>
  <c r="B361" i="7"/>
  <c r="A360" i="7"/>
  <c r="H360" i="7" s="1"/>
  <c r="A359" i="7"/>
  <c r="A358" i="7"/>
  <c r="H358" i="7" s="1"/>
  <c r="A357" i="7"/>
  <c r="H357" i="7" s="1"/>
  <c r="A356" i="7"/>
  <c r="A355" i="7"/>
  <c r="I355" i="7" s="1"/>
  <c r="A354" i="7"/>
  <c r="H354" i="7" s="1"/>
  <c r="A353" i="7"/>
  <c r="A352" i="7"/>
  <c r="A351" i="7"/>
  <c r="A350" i="7"/>
  <c r="B350" i="7" s="1"/>
  <c r="A349" i="7"/>
  <c r="E349" i="7" s="1"/>
  <c r="A348" i="7"/>
  <c r="I348" i="7" s="1"/>
  <c r="A347" i="7"/>
  <c r="C347" i="7" s="1"/>
  <c r="A346" i="7"/>
  <c r="H346" i="7" s="1"/>
  <c r="A345" i="7"/>
  <c r="A344" i="7"/>
  <c r="A343" i="7"/>
  <c r="A342" i="7"/>
  <c r="A341" i="7"/>
  <c r="A340" i="7"/>
  <c r="B340" i="7" s="1"/>
  <c r="A339" i="7"/>
  <c r="I339" i="7" s="1"/>
  <c r="A338" i="7"/>
  <c r="A337" i="7"/>
  <c r="H337" i="7" s="1"/>
  <c r="A336" i="7"/>
  <c r="A335" i="7"/>
  <c r="A334" i="7"/>
  <c r="H334" i="7" s="1"/>
  <c r="A333" i="7"/>
  <c r="H333" i="7" s="1"/>
  <c r="A332" i="7"/>
  <c r="A331" i="7"/>
  <c r="G331" i="7" s="1"/>
  <c r="A330" i="7"/>
  <c r="A329" i="7"/>
  <c r="A328" i="7"/>
  <c r="F328" i="7" s="1"/>
  <c r="A327" i="7"/>
  <c r="A326" i="7"/>
  <c r="A325" i="7"/>
  <c r="A324" i="7"/>
  <c r="A323" i="7"/>
  <c r="D323" i="7" s="1"/>
  <c r="A322" i="7"/>
  <c r="A321" i="7"/>
  <c r="A320" i="7"/>
  <c r="I320" i="7" s="1"/>
  <c r="A319" i="7"/>
  <c r="A318" i="7"/>
  <c r="A317" i="7"/>
  <c r="A316" i="7"/>
  <c r="A315" i="7"/>
  <c r="A314" i="7"/>
  <c r="A313" i="7"/>
  <c r="E313" i="7" s="1"/>
  <c r="A312" i="7"/>
  <c r="I312" i="7" s="1"/>
  <c r="A311" i="7"/>
  <c r="D311" i="7" s="1"/>
  <c r="A310" i="7"/>
  <c r="A309" i="7"/>
  <c r="I309" i="7" s="1"/>
  <c r="A308" i="7"/>
  <c r="A307" i="7"/>
  <c r="A306" i="7"/>
  <c r="H306" i="7" s="1"/>
  <c r="A305" i="7"/>
  <c r="A304" i="7"/>
  <c r="I304" i="7" s="1"/>
  <c r="A303" i="7"/>
  <c r="D303" i="7" s="1"/>
  <c r="A302" i="7"/>
  <c r="A301" i="7"/>
  <c r="F301" i="7" s="1"/>
  <c r="A300" i="7"/>
  <c r="H300" i="7" s="1"/>
  <c r="A299" i="7"/>
  <c r="A298" i="7"/>
  <c r="A297" i="7"/>
  <c r="A296" i="7"/>
  <c r="I296" i="7" s="1"/>
  <c r="A295" i="7"/>
  <c r="A294" i="7"/>
  <c r="A293" i="7"/>
  <c r="I293" i="7" s="1"/>
  <c r="A292" i="7"/>
  <c r="A291" i="7"/>
  <c r="D291" i="7" s="1"/>
  <c r="A290" i="7"/>
  <c r="H290" i="7" s="1"/>
  <c r="A289" i="7"/>
  <c r="C289" i="7" s="1"/>
  <c r="A288" i="7"/>
  <c r="C288" i="7" s="1"/>
  <c r="A287" i="7"/>
  <c r="E287" i="7" s="1"/>
  <c r="A286" i="7"/>
  <c r="D286" i="7" s="1"/>
  <c r="A285" i="7"/>
  <c r="A284" i="7"/>
  <c r="A283" i="7"/>
  <c r="F283" i="7" s="1"/>
  <c r="A282" i="7"/>
  <c r="G282" i="7" s="1"/>
  <c r="A281" i="7"/>
  <c r="A280" i="7"/>
  <c r="I280" i="7" s="1"/>
  <c r="A279" i="7"/>
  <c r="A278" i="7"/>
  <c r="A277" i="7"/>
  <c r="A276" i="7"/>
  <c r="A275" i="7"/>
  <c r="H275" i="7" s="1"/>
  <c r="A274" i="7"/>
  <c r="H274" i="7" s="1"/>
  <c r="A273" i="7"/>
  <c r="A272" i="7"/>
  <c r="A271" i="7"/>
  <c r="A270" i="7"/>
  <c r="A269" i="7"/>
  <c r="A268" i="7"/>
  <c r="A267" i="7"/>
  <c r="H267" i="7" s="1"/>
  <c r="A266" i="7"/>
  <c r="H266" i="7" s="1"/>
  <c r="A265" i="7"/>
  <c r="F265" i="7" s="1"/>
  <c r="A264" i="7"/>
  <c r="I264" i="7" s="1"/>
  <c r="A263" i="7"/>
  <c r="A262" i="7"/>
  <c r="A261" i="7"/>
  <c r="F261" i="7" s="1"/>
  <c r="A260" i="7"/>
  <c r="G260" i="7" s="1"/>
  <c r="A259" i="7"/>
  <c r="H259" i="7" s="1"/>
  <c r="A258" i="7"/>
  <c r="H258" i="7" s="1"/>
  <c r="A257" i="7"/>
  <c r="A256" i="7"/>
  <c r="I256" i="7" s="1"/>
  <c r="A255" i="7"/>
  <c r="A254" i="7"/>
  <c r="D254" i="7" s="1"/>
  <c r="A253" i="7"/>
  <c r="A252" i="7"/>
  <c r="A251" i="7"/>
  <c r="F251" i="7" s="1"/>
  <c r="A250" i="7"/>
  <c r="H250" i="7" s="1"/>
  <c r="A249" i="7"/>
  <c r="F249" i="7" s="1"/>
  <c r="A248" i="7"/>
  <c r="A247" i="7"/>
  <c r="D247" i="7" s="1"/>
  <c r="A246" i="7"/>
  <c r="E246" i="7" s="1"/>
  <c r="A245" i="7"/>
  <c r="A244" i="7"/>
  <c r="A243" i="7"/>
  <c r="H243" i="7" s="1"/>
  <c r="A242" i="7"/>
  <c r="H242" i="7" s="1"/>
  <c r="A241" i="7"/>
  <c r="D241" i="7" s="1"/>
  <c r="A240" i="7"/>
  <c r="I240" i="7" s="1"/>
  <c r="A239" i="7"/>
  <c r="E239" i="7" s="1"/>
  <c r="A238" i="7"/>
  <c r="A237" i="7"/>
  <c r="A236" i="7"/>
  <c r="F236" i="7" s="1"/>
  <c r="A235" i="7"/>
  <c r="A234" i="7"/>
  <c r="A233" i="7"/>
  <c r="F233" i="7" s="1"/>
  <c r="A232" i="7"/>
  <c r="E232" i="7" s="1"/>
  <c r="A231" i="7"/>
  <c r="A230" i="7"/>
  <c r="D230" i="7" s="1"/>
  <c r="A229" i="7"/>
  <c r="B229" i="7" s="1"/>
  <c r="A228" i="7"/>
  <c r="A227" i="7"/>
  <c r="H227" i="7" s="1"/>
  <c r="A226" i="7"/>
  <c r="H226" i="7" s="1"/>
  <c r="A225" i="7"/>
  <c r="A224" i="7"/>
  <c r="A223" i="7"/>
  <c r="A222" i="7"/>
  <c r="A221" i="7"/>
  <c r="D221" i="7" s="1"/>
  <c r="A220" i="7"/>
  <c r="F220" i="7" s="1"/>
  <c r="A219" i="7"/>
  <c r="A218" i="7"/>
  <c r="A217" i="7"/>
  <c r="F217" i="7" s="1"/>
  <c r="A216" i="7"/>
  <c r="I216" i="7" s="1"/>
  <c r="A215" i="7"/>
  <c r="A214" i="7"/>
  <c r="E214" i="7" s="1"/>
  <c r="A213" i="7"/>
  <c r="A212" i="7"/>
  <c r="G212" i="7" s="1"/>
  <c r="A211" i="7"/>
  <c r="H211" i="7" s="1"/>
  <c r="A210" i="7"/>
  <c r="H210" i="7" s="1"/>
  <c r="A209" i="7"/>
  <c r="A208" i="7"/>
  <c r="A207" i="7"/>
  <c r="D207" i="7" s="1"/>
  <c r="A206" i="7"/>
  <c r="A205" i="7"/>
  <c r="A204" i="7"/>
  <c r="B204" i="7" s="1"/>
  <c r="A203" i="7"/>
  <c r="A202" i="7"/>
  <c r="C202" i="7" s="1"/>
  <c r="A201" i="7"/>
  <c r="C201" i="7" s="1"/>
  <c r="A200" i="7"/>
  <c r="C200" i="7" s="1"/>
  <c r="A199" i="7"/>
  <c r="A198" i="7"/>
  <c r="A197" i="7"/>
  <c r="G197" i="7" s="1"/>
  <c r="A196" i="7"/>
  <c r="A195" i="7"/>
  <c r="H195" i="7" s="1"/>
  <c r="A194" i="7"/>
  <c r="H194" i="7" s="1"/>
  <c r="A193" i="7"/>
  <c r="G193" i="7" s="1"/>
  <c r="A192" i="7"/>
  <c r="A191" i="7"/>
  <c r="A190" i="7"/>
  <c r="F190" i="7" s="1"/>
  <c r="A189" i="7"/>
  <c r="B189" i="7" s="1"/>
  <c r="A188" i="7"/>
  <c r="A187" i="7"/>
  <c r="A186" i="7"/>
  <c r="I186" i="7" s="1"/>
  <c r="A185" i="7"/>
  <c r="F185" i="7" s="1"/>
  <c r="A184" i="7"/>
  <c r="H184" i="7" s="1"/>
  <c r="A183" i="7"/>
  <c r="H183" i="7" s="1"/>
  <c r="A182" i="7"/>
  <c r="G182" i="7" s="1"/>
  <c r="A181" i="7"/>
  <c r="A180" i="7"/>
  <c r="H180" i="7" s="1"/>
  <c r="A179" i="7"/>
  <c r="G179" i="7" s="1"/>
  <c r="A178" i="7"/>
  <c r="A177" i="7"/>
  <c r="F177" i="7" s="1"/>
  <c r="A176" i="7"/>
  <c r="I176" i="7" s="1"/>
  <c r="A175" i="7"/>
  <c r="A174" i="7"/>
  <c r="A173" i="7"/>
  <c r="A172" i="7"/>
  <c r="E172" i="7" s="1"/>
  <c r="A171" i="7"/>
  <c r="A170" i="7"/>
  <c r="A169" i="7"/>
  <c r="F169" i="7" s="1"/>
  <c r="A168" i="7"/>
  <c r="I168" i="7" s="1"/>
  <c r="A167" i="7"/>
  <c r="A166" i="7"/>
  <c r="A165" i="7"/>
  <c r="B165" i="7" s="1"/>
  <c r="A164" i="7"/>
  <c r="H164" i="7" s="1"/>
  <c r="A163" i="7"/>
  <c r="A162" i="7"/>
  <c r="A161" i="7"/>
  <c r="F161" i="7" s="1"/>
  <c r="A160" i="7"/>
  <c r="I160" i="7" s="1"/>
  <c r="A159" i="7"/>
  <c r="A158" i="7"/>
  <c r="A157" i="7"/>
  <c r="A156" i="7"/>
  <c r="E156" i="7" s="1"/>
  <c r="A155" i="7"/>
  <c r="A154" i="7"/>
  <c r="G154" i="7" s="1"/>
  <c r="A153" i="7"/>
  <c r="F153" i="7" s="1"/>
  <c r="A152" i="7"/>
  <c r="I152" i="7" s="1"/>
  <c r="A151" i="7"/>
  <c r="G151" i="7" s="1"/>
  <c r="A150" i="7"/>
  <c r="G150" i="7" s="1"/>
  <c r="A149" i="7"/>
  <c r="A148" i="7"/>
  <c r="A147" i="7"/>
  <c r="A146" i="7"/>
  <c r="A145" i="7"/>
  <c r="A144" i="7"/>
  <c r="A143" i="7"/>
  <c r="A142" i="7"/>
  <c r="A141" i="7"/>
  <c r="A140" i="7"/>
  <c r="A139" i="7"/>
  <c r="G139" i="7" s="1"/>
  <c r="A138" i="7"/>
  <c r="I138" i="7" s="1"/>
  <c r="A137" i="7"/>
  <c r="C137" i="7" s="1"/>
  <c r="A136" i="7"/>
  <c r="A135" i="7"/>
  <c r="D135" i="7" s="1"/>
  <c r="A134" i="7"/>
  <c r="I134" i="7" s="1"/>
  <c r="A133" i="7"/>
  <c r="A132" i="7"/>
  <c r="A131" i="7"/>
  <c r="A130" i="7"/>
  <c r="A129" i="7"/>
  <c r="I129" i="7" s="1"/>
  <c r="A128" i="7"/>
  <c r="I128" i="7" s="1"/>
  <c r="A127" i="7"/>
  <c r="A126" i="7"/>
  <c r="A125" i="7"/>
  <c r="A124" i="7"/>
  <c r="A123" i="7"/>
  <c r="A122" i="7"/>
  <c r="G122" i="7" s="1"/>
  <c r="A121" i="7"/>
  <c r="A120" i="7"/>
  <c r="A119" i="7"/>
  <c r="A118" i="7"/>
  <c r="F118" i="7" s="1"/>
  <c r="A117" i="7"/>
  <c r="A116" i="7"/>
  <c r="A115" i="7"/>
  <c r="A114" i="7"/>
  <c r="B114" i="7" s="1"/>
  <c r="A113" i="7"/>
  <c r="A112" i="7"/>
  <c r="A111" i="7"/>
  <c r="A110" i="7"/>
  <c r="G110" i="7" s="1"/>
  <c r="A109" i="7"/>
  <c r="G109" i="7" s="1"/>
  <c r="A108" i="7"/>
  <c r="H108" i="7" s="1"/>
  <c r="A107" i="7"/>
  <c r="H107" i="7" s="1"/>
  <c r="A106" i="7"/>
  <c r="A105" i="7"/>
  <c r="A104" i="7"/>
  <c r="E104" i="7" s="1"/>
  <c r="A103" i="7"/>
  <c r="D103" i="7" s="1"/>
  <c r="A102" i="7"/>
  <c r="A101" i="7"/>
  <c r="A100" i="7"/>
  <c r="A99" i="7"/>
  <c r="A98" i="7"/>
  <c r="A97" i="7"/>
  <c r="A96" i="7"/>
  <c r="A95" i="7"/>
  <c r="I95" i="7" s="1"/>
  <c r="A94" i="7"/>
  <c r="D94" i="7" s="1"/>
  <c r="A93" i="7"/>
  <c r="G93" i="7" s="1"/>
  <c r="A92" i="7"/>
  <c r="A91" i="7"/>
  <c r="A90" i="7"/>
  <c r="I90" i="7" s="1"/>
  <c r="A89" i="7"/>
  <c r="A88" i="7"/>
  <c r="A87" i="7"/>
  <c r="A86" i="7"/>
  <c r="I86" i="7" s="1"/>
  <c r="A85" i="7"/>
  <c r="B85" i="7" s="1"/>
  <c r="A84" i="7"/>
  <c r="B84" i="7" s="1"/>
  <c r="A83" i="7"/>
  <c r="C83" i="7" s="1"/>
  <c r="A82" i="7"/>
  <c r="I82" i="7" s="1"/>
  <c r="A81" i="7"/>
  <c r="A80" i="7"/>
  <c r="A79" i="7"/>
  <c r="A78" i="7"/>
  <c r="I78" i="7" s="1"/>
  <c r="A77" i="7"/>
  <c r="G77" i="7" s="1"/>
  <c r="A76" i="7"/>
  <c r="H76" i="7" s="1"/>
  <c r="A75" i="7"/>
  <c r="A74" i="7"/>
  <c r="I74" i="7" s="1"/>
  <c r="A73" i="7"/>
  <c r="I73" i="7" s="1"/>
  <c r="A72" i="7"/>
  <c r="I72" i="7" s="1"/>
  <c r="A71" i="7"/>
  <c r="A70" i="7"/>
  <c r="A69" i="7"/>
  <c r="F69" i="7" s="1"/>
  <c r="A68" i="7"/>
  <c r="F68" i="7" s="1"/>
  <c r="A67" i="7"/>
  <c r="G67" i="7" s="1"/>
  <c r="A66" i="7"/>
  <c r="A65" i="7"/>
  <c r="C65" i="7" s="1"/>
  <c r="A64" i="7"/>
  <c r="A63" i="7"/>
  <c r="A62" i="7"/>
  <c r="I62" i="7" s="1"/>
  <c r="A61" i="7"/>
  <c r="A60" i="7"/>
  <c r="A59" i="7"/>
  <c r="A58" i="7"/>
  <c r="F58" i="7" s="1"/>
  <c r="A57" i="7"/>
  <c r="E57" i="7" s="1"/>
  <c r="A56" i="7"/>
  <c r="D56" i="7" s="1"/>
  <c r="A55" i="7"/>
  <c r="A54" i="7"/>
  <c r="G54" i="7" s="1"/>
  <c r="A53" i="7"/>
  <c r="A52" i="7"/>
  <c r="A51" i="7"/>
  <c r="A50" i="7"/>
  <c r="F50" i="7" s="1"/>
  <c r="A49" i="7"/>
  <c r="E49" i="7" s="1"/>
  <c r="A48" i="7"/>
  <c r="D48" i="7" s="1"/>
  <c r="A47" i="7"/>
  <c r="A46" i="7"/>
  <c r="A45" i="7"/>
  <c r="A44" i="7"/>
  <c r="H44" i="7" s="1"/>
  <c r="A43" i="7"/>
  <c r="H43" i="7" s="1"/>
  <c r="A42" i="7"/>
  <c r="D42" i="7" s="1"/>
  <c r="A41" i="7"/>
  <c r="A40" i="7"/>
  <c r="A39" i="7"/>
  <c r="I39" i="7" s="1"/>
  <c r="A38" i="7"/>
  <c r="A37" i="7"/>
  <c r="A36" i="7"/>
  <c r="A35" i="7"/>
  <c r="A34" i="7"/>
  <c r="A33" i="7"/>
  <c r="A32" i="7"/>
  <c r="I32" i="7" s="1"/>
  <c r="A31" i="7"/>
  <c r="D31" i="7" s="1"/>
  <c r="A30" i="7"/>
  <c r="D30" i="7" s="1"/>
  <c r="A29" i="7"/>
  <c r="A28" i="7"/>
  <c r="A27" i="7"/>
  <c r="H27" i="7" s="1"/>
  <c r="A26" i="7"/>
  <c r="A25" i="7"/>
  <c r="A24" i="7"/>
  <c r="A23" i="7"/>
  <c r="A22" i="7"/>
  <c r="A21" i="7"/>
  <c r="B21" i="7" s="1"/>
  <c r="A20" i="7"/>
  <c r="F20" i="7" s="1"/>
  <c r="A19" i="7"/>
  <c r="A18" i="7"/>
  <c r="A17" i="7"/>
  <c r="A16" i="7"/>
  <c r="F16" i="7" s="1"/>
  <c r="A15" i="7"/>
  <c r="A14" i="7"/>
  <c r="F14" i="7" s="1"/>
  <c r="A13" i="7"/>
  <c r="I13" i="7" s="1"/>
  <c r="A12" i="7"/>
  <c r="A11" i="7"/>
  <c r="I11" i="7" s="1"/>
  <c r="A10" i="7"/>
  <c r="I10" i="7" s="1"/>
  <c r="A9" i="7"/>
  <c r="A8" i="7"/>
  <c r="F8" i="7" s="1"/>
  <c r="A7" i="7"/>
  <c r="A6" i="7"/>
  <c r="I6" i="7" s="1"/>
  <c r="A5" i="7"/>
  <c r="A4" i="7"/>
  <c r="F4" i="7" s="1"/>
  <c r="A3" i="7"/>
  <c r="I3" i="7" s="1"/>
  <c r="A2" i="7"/>
  <c r="F2" i="7" s="1"/>
  <c r="G295" i="7" l="1"/>
  <c r="G307" i="7"/>
  <c r="G335" i="7"/>
  <c r="G351" i="7"/>
  <c r="G228" i="7"/>
  <c r="G244" i="7"/>
  <c r="G276" i="7"/>
  <c r="G284" i="7"/>
  <c r="G328" i="8"/>
  <c r="G340" i="8"/>
  <c r="D29" i="8"/>
  <c r="G152" i="8"/>
  <c r="H155" i="8"/>
  <c r="B158" i="8"/>
  <c r="G217" i="8"/>
  <c r="G335" i="8"/>
  <c r="D298" i="8"/>
  <c r="F301" i="8"/>
  <c r="G337" i="8"/>
  <c r="D99" i="8"/>
  <c r="D73" i="8"/>
  <c r="G205" i="8"/>
  <c r="G213" i="8"/>
  <c r="C26" i="7"/>
  <c r="F55" i="8"/>
  <c r="H70" i="8"/>
  <c r="B73" i="8"/>
  <c r="C101" i="8"/>
  <c r="C104" i="8"/>
  <c r="D115" i="8"/>
  <c r="H174" i="7"/>
  <c r="B151" i="8"/>
  <c r="B193" i="7"/>
  <c r="C121" i="8"/>
  <c r="C151" i="8"/>
  <c r="G220" i="7"/>
  <c r="G27" i="7"/>
  <c r="H265" i="7"/>
  <c r="B7" i="8"/>
  <c r="D58" i="8"/>
  <c r="D122" i="8"/>
  <c r="F125" i="8"/>
  <c r="D6" i="7"/>
  <c r="D201" i="7"/>
  <c r="B57" i="8"/>
  <c r="C62" i="8"/>
  <c r="C114" i="8"/>
  <c r="G201" i="7"/>
  <c r="D57" i="8"/>
  <c r="F219" i="8"/>
  <c r="D266" i="8"/>
  <c r="F269" i="8"/>
  <c r="C155" i="7"/>
  <c r="D158" i="7"/>
  <c r="F193" i="7"/>
  <c r="E255" i="7"/>
  <c r="D281" i="7"/>
  <c r="G19" i="8"/>
  <c r="C66" i="8"/>
  <c r="B69" i="8"/>
  <c r="C116" i="8"/>
  <c r="D121" i="8"/>
  <c r="G138" i="8"/>
  <c r="F145" i="8"/>
  <c r="D26" i="7"/>
  <c r="G29" i="7"/>
  <c r="I55" i="7"/>
  <c r="H86" i="7"/>
  <c r="I89" i="7"/>
  <c r="D96" i="7"/>
  <c r="G130" i="7"/>
  <c r="E96" i="7"/>
  <c r="I137" i="7"/>
  <c r="G170" i="7"/>
  <c r="F281" i="7"/>
  <c r="C46" i="8"/>
  <c r="C58" i="8"/>
  <c r="C106" i="8"/>
  <c r="D109" i="8"/>
  <c r="B115" i="8"/>
  <c r="F116" i="8"/>
  <c r="C135" i="8"/>
  <c r="B159" i="8"/>
  <c r="C166" i="8"/>
  <c r="D173" i="8"/>
  <c r="D187" i="8"/>
  <c r="B217" i="8"/>
  <c r="G222" i="8"/>
  <c r="B241" i="8"/>
  <c r="B243" i="8"/>
  <c r="D250" i="8"/>
  <c r="F253" i="8"/>
  <c r="D282" i="8"/>
  <c r="F285" i="8"/>
  <c r="B326" i="8"/>
  <c r="C332" i="8"/>
  <c r="I96" i="7"/>
  <c r="C217" i="8"/>
  <c r="F241" i="8"/>
  <c r="C330" i="8"/>
  <c r="B10" i="7"/>
  <c r="B54" i="7"/>
  <c r="G21" i="8"/>
  <c r="G69" i="8"/>
  <c r="G85" i="8"/>
  <c r="G130" i="8"/>
  <c r="D20" i="7"/>
  <c r="B130" i="7"/>
  <c r="D18" i="7"/>
  <c r="F54" i="7"/>
  <c r="D71" i="7"/>
  <c r="D74" i="7"/>
  <c r="B150" i="7"/>
  <c r="C175" i="7"/>
  <c r="I254" i="7"/>
  <c r="I255" i="7"/>
  <c r="C277" i="7"/>
  <c r="B346" i="7"/>
  <c r="C7" i="8"/>
  <c r="B15" i="8"/>
  <c r="B23" i="8"/>
  <c r="B48" i="8"/>
  <c r="C49" i="8"/>
  <c r="H57" i="8"/>
  <c r="B64" i="8"/>
  <c r="D77" i="8"/>
  <c r="B80" i="8"/>
  <c r="C89" i="8"/>
  <c r="F114" i="8"/>
  <c r="B117" i="8"/>
  <c r="C140" i="8"/>
  <c r="C143" i="8"/>
  <c r="F151" i="8"/>
  <c r="F158" i="8"/>
  <c r="F181" i="8"/>
  <c r="F205" i="8"/>
  <c r="F207" i="8"/>
  <c r="B210" i="8"/>
  <c r="H74" i="7"/>
  <c r="E137" i="7"/>
  <c r="D174" i="7"/>
  <c r="D175" i="7"/>
  <c r="D186" i="7"/>
  <c r="F241" i="7"/>
  <c r="D277" i="7"/>
  <c r="C318" i="7"/>
  <c r="F10" i="8"/>
  <c r="B13" i="8"/>
  <c r="C15" i="8"/>
  <c r="B21" i="8"/>
  <c r="C48" i="8"/>
  <c r="F80" i="8"/>
  <c r="C117" i="8"/>
  <c r="F48" i="8"/>
  <c r="F18" i="7"/>
  <c r="C41" i="7"/>
  <c r="F114" i="7"/>
  <c r="D134" i="7"/>
  <c r="D144" i="7"/>
  <c r="D154" i="7"/>
  <c r="G196" i="7"/>
  <c r="E207" i="7"/>
  <c r="F221" i="7"/>
  <c r="C232" i="7"/>
  <c r="I248" i="7"/>
  <c r="D257" i="7"/>
  <c r="C323" i="7"/>
  <c r="B344" i="7"/>
  <c r="B352" i="7"/>
  <c r="E5" i="8"/>
  <c r="C30" i="8"/>
  <c r="B32" i="8"/>
  <c r="D34" i="8"/>
  <c r="C37" i="8"/>
  <c r="C42" i="8"/>
  <c r="H45" i="8"/>
  <c r="G47" i="8"/>
  <c r="G51" i="8"/>
  <c r="F54" i="8"/>
  <c r="C56" i="8"/>
  <c r="B61" i="8"/>
  <c r="G65" i="8"/>
  <c r="F71" i="8"/>
  <c r="C86" i="8"/>
  <c r="F88" i="8"/>
  <c r="F90" i="8"/>
  <c r="B93" i="8"/>
  <c r="F98" i="8"/>
  <c r="F100" i="8"/>
  <c r="C105" i="8"/>
  <c r="D129" i="8"/>
  <c r="F131" i="8"/>
  <c r="G134" i="8"/>
  <c r="C136" i="8"/>
  <c r="D150" i="8"/>
  <c r="C167" i="8"/>
  <c r="D176" i="8"/>
  <c r="B182" i="8"/>
  <c r="F213" i="8"/>
  <c r="B224" i="8"/>
  <c r="D236" i="8"/>
  <c r="F321" i="8"/>
  <c r="C337" i="8"/>
  <c r="F342" i="8"/>
  <c r="C10" i="7"/>
  <c r="E32" i="7"/>
  <c r="D34" i="7"/>
  <c r="D62" i="7"/>
  <c r="I103" i="7"/>
  <c r="I121" i="7"/>
  <c r="I136" i="7"/>
  <c r="C6" i="7"/>
  <c r="D10" i="7"/>
  <c r="G45" i="7"/>
  <c r="C66" i="7"/>
  <c r="H78" i="7"/>
  <c r="C138" i="7"/>
  <c r="D159" i="7"/>
  <c r="C170" i="7"/>
  <c r="G175" i="7"/>
  <c r="D178" i="7"/>
  <c r="E256" i="7"/>
  <c r="F257" i="7"/>
  <c r="G268" i="7"/>
  <c r="H282" i="7"/>
  <c r="E297" i="7"/>
  <c r="F300" i="7"/>
  <c r="F335" i="7"/>
  <c r="C337" i="7"/>
  <c r="D352" i="7"/>
  <c r="E7" i="8"/>
  <c r="E14" i="8"/>
  <c r="E15" i="8"/>
  <c r="E18" i="8"/>
  <c r="H30" i="8"/>
  <c r="F32" i="8"/>
  <c r="C41" i="8"/>
  <c r="G43" i="8"/>
  <c r="G59" i="8"/>
  <c r="H61" i="8"/>
  <c r="B77" i="8"/>
  <c r="G87" i="8"/>
  <c r="G91" i="8"/>
  <c r="D93" i="8"/>
  <c r="C108" i="8"/>
  <c r="C110" i="8"/>
  <c r="G113" i="8"/>
  <c r="G115" i="8"/>
  <c r="D117" i="8"/>
  <c r="H127" i="8"/>
  <c r="H131" i="8"/>
  <c r="F139" i="8"/>
  <c r="F182" i="8"/>
  <c r="D192" i="8"/>
  <c r="G202" i="8"/>
  <c r="G210" i="8"/>
  <c r="B220" i="8"/>
  <c r="C228" i="8"/>
  <c r="B231" i="8"/>
  <c r="F245" i="8"/>
  <c r="D258" i="8"/>
  <c r="F261" i="8"/>
  <c r="D274" i="8"/>
  <c r="F277" i="8"/>
  <c r="D290" i="8"/>
  <c r="F293" i="8"/>
  <c r="D306" i="8"/>
  <c r="F309" i="8"/>
  <c r="C312" i="8"/>
  <c r="G341" i="8"/>
  <c r="D337" i="7"/>
  <c r="G8" i="8"/>
  <c r="G44" i="8"/>
  <c r="G75" i="8"/>
  <c r="C77" i="8"/>
  <c r="G92" i="8"/>
  <c r="G111" i="8"/>
  <c r="G175" i="8"/>
  <c r="G220" i="8"/>
  <c r="C231" i="8"/>
  <c r="G238" i="8"/>
  <c r="D2" i="7"/>
  <c r="D38" i="7"/>
  <c r="F42" i="7"/>
  <c r="E48" i="7"/>
  <c r="C62" i="7"/>
  <c r="B74" i="7"/>
  <c r="C78" i="7"/>
  <c r="C86" i="7"/>
  <c r="H90" i="7"/>
  <c r="F93" i="7"/>
  <c r="E103" i="7"/>
  <c r="E121" i="7"/>
  <c r="C134" i="7"/>
  <c r="B138" i="7"/>
  <c r="H155" i="7"/>
  <c r="C159" i="7"/>
  <c r="F178" i="7"/>
  <c r="E180" i="7"/>
  <c r="F181" i="7"/>
  <c r="G183" i="7"/>
  <c r="C186" i="7"/>
  <c r="D190" i="7"/>
  <c r="C197" i="7"/>
  <c r="I207" i="7"/>
  <c r="I208" i="7"/>
  <c r="C217" i="7"/>
  <c r="B220" i="7"/>
  <c r="I223" i="7"/>
  <c r="C233" i="7"/>
  <c r="B236" i="7"/>
  <c r="F237" i="7"/>
  <c r="D246" i="7"/>
  <c r="E248" i="7"/>
  <c r="H249" i="7"/>
  <c r="H251" i="7"/>
  <c r="E254" i="7"/>
  <c r="D255" i="7"/>
  <c r="C256" i="7"/>
  <c r="B257" i="7"/>
  <c r="H261" i="7"/>
  <c r="F267" i="7"/>
  <c r="C297" i="7"/>
  <c r="C313" i="7"/>
  <c r="H340" i="7"/>
  <c r="F340" i="7"/>
  <c r="E345" i="7"/>
  <c r="G23" i="8"/>
  <c r="F27" i="8"/>
  <c r="C27" i="8"/>
  <c r="E41" i="8"/>
  <c r="B41" i="8"/>
  <c r="D41" i="8"/>
  <c r="G310" i="7"/>
  <c r="D310" i="7"/>
  <c r="E11" i="8"/>
  <c r="C11" i="8"/>
  <c r="E22" i="8"/>
  <c r="F22" i="8"/>
  <c r="E28" i="8"/>
  <c r="D28" i="8"/>
  <c r="G84" i="8"/>
  <c r="F84" i="8"/>
  <c r="E31" i="7"/>
  <c r="D40" i="7"/>
  <c r="C82" i="7"/>
  <c r="B110" i="7"/>
  <c r="C113" i="7"/>
  <c r="B118" i="7"/>
  <c r="H134" i="7"/>
  <c r="D138" i="7"/>
  <c r="H146" i="7"/>
  <c r="H156" i="7"/>
  <c r="G159" i="7"/>
  <c r="F173" i="7"/>
  <c r="B181" i="7"/>
  <c r="H186" i="7"/>
  <c r="D198" i="7"/>
  <c r="E200" i="7"/>
  <c r="C208" i="7"/>
  <c r="B209" i="7"/>
  <c r="I214" i="7"/>
  <c r="D223" i="7"/>
  <c r="B237" i="7"/>
  <c r="E240" i="7"/>
  <c r="F268" i="7"/>
  <c r="C306" i="7"/>
  <c r="B331" i="7"/>
  <c r="B348" i="7"/>
  <c r="B354" i="7"/>
  <c r="I360" i="7"/>
  <c r="C360" i="7"/>
  <c r="B9" i="8"/>
  <c r="B11" i="8"/>
  <c r="B28" i="8"/>
  <c r="D74" i="8"/>
  <c r="F74" i="8"/>
  <c r="C74" i="8"/>
  <c r="F79" i="8"/>
  <c r="G79" i="8"/>
  <c r="D79" i="8"/>
  <c r="H62" i="7"/>
  <c r="C70" i="7"/>
  <c r="F77" i="7"/>
  <c r="D102" i="7"/>
  <c r="H6" i="7"/>
  <c r="H10" i="7"/>
  <c r="I31" i="7"/>
  <c r="I40" i="7"/>
  <c r="E56" i="7"/>
  <c r="B62" i="7"/>
  <c r="E65" i="7"/>
  <c r="G70" i="7"/>
  <c r="H82" i="7"/>
  <c r="C90" i="7"/>
  <c r="I113" i="7"/>
  <c r="G118" i="7"/>
  <c r="C121" i="7"/>
  <c r="B134" i="7"/>
  <c r="H138" i="7"/>
  <c r="E181" i="7"/>
  <c r="I200" i="7"/>
  <c r="E208" i="7"/>
  <c r="G209" i="7"/>
  <c r="E223" i="7"/>
  <c r="D237" i="7"/>
  <c r="C248" i="7"/>
  <c r="B249" i="7"/>
  <c r="B261" i="7"/>
  <c r="H283" i="7"/>
  <c r="B314" i="7"/>
  <c r="D319" i="7"/>
  <c r="C322" i="7"/>
  <c r="I325" i="7"/>
  <c r="B325" i="7"/>
  <c r="H348" i="7"/>
  <c r="E354" i="7"/>
  <c r="B360" i="7"/>
  <c r="G11" i="8"/>
  <c r="C28" i="8"/>
  <c r="E45" i="8"/>
  <c r="D45" i="8"/>
  <c r="B45" i="8"/>
  <c r="C82" i="8"/>
  <c r="F82" i="8"/>
  <c r="D82" i="8"/>
  <c r="G97" i="8"/>
  <c r="D97" i="8"/>
  <c r="H191" i="8"/>
  <c r="H198" i="8"/>
  <c r="H206" i="8"/>
  <c r="H227" i="8"/>
  <c r="F42" i="8"/>
  <c r="D61" i="8"/>
  <c r="H62" i="8"/>
  <c r="H64" i="8"/>
  <c r="G71" i="8"/>
  <c r="C73" i="8"/>
  <c r="H77" i="8"/>
  <c r="C80" i="8"/>
  <c r="H88" i="8"/>
  <c r="D89" i="8"/>
  <c r="C93" i="8"/>
  <c r="H98" i="8"/>
  <c r="G99" i="8"/>
  <c r="H100" i="8"/>
  <c r="D101" i="8"/>
  <c r="B103" i="8"/>
  <c r="H104" i="8"/>
  <c r="D105" i="8"/>
  <c r="H106" i="8"/>
  <c r="H110" i="8"/>
  <c r="H117" i="8"/>
  <c r="F129" i="8"/>
  <c r="C132" i="8"/>
  <c r="D134" i="8"/>
  <c r="F135" i="8"/>
  <c r="D136" i="8"/>
  <c r="H139" i="8"/>
  <c r="D140" i="8"/>
  <c r="D142" i="8"/>
  <c r="F143" i="8"/>
  <c r="C158" i="8"/>
  <c r="D163" i="8"/>
  <c r="D165" i="8"/>
  <c r="F166" i="8"/>
  <c r="G167" i="8"/>
  <c r="B174" i="8"/>
  <c r="C175" i="8"/>
  <c r="F176" i="8"/>
  <c r="B179" i="8"/>
  <c r="G187" i="8"/>
  <c r="C190" i="8"/>
  <c r="B191" i="8"/>
  <c r="B196" i="8"/>
  <c r="B198" i="8"/>
  <c r="B201" i="8"/>
  <c r="B206" i="8"/>
  <c r="B209" i="8"/>
  <c r="C214" i="8"/>
  <c r="B221" i="8"/>
  <c r="B225" i="8"/>
  <c r="B226" i="8"/>
  <c r="B227" i="8"/>
  <c r="F230" i="8"/>
  <c r="D231" i="8"/>
  <c r="B242" i="8"/>
  <c r="D243" i="8"/>
  <c r="C328" i="8"/>
  <c r="B336" i="8"/>
  <c r="G339" i="8"/>
  <c r="H89" i="8"/>
  <c r="H101" i="8"/>
  <c r="H105" i="8"/>
  <c r="D132" i="8"/>
  <c r="H136" i="8"/>
  <c r="H140" i="8"/>
  <c r="C174" i="8"/>
  <c r="G190" i="8"/>
  <c r="C191" i="8"/>
  <c r="C198" i="8"/>
  <c r="C206" i="8"/>
  <c r="G221" i="8"/>
  <c r="D225" i="8"/>
  <c r="C226" i="8"/>
  <c r="C227" i="8"/>
  <c r="H231" i="8"/>
  <c r="H242" i="8"/>
  <c r="C338" i="8"/>
  <c r="B342" i="8"/>
  <c r="C65" i="8"/>
  <c r="H73" i="8"/>
  <c r="C85" i="8"/>
  <c r="C88" i="8"/>
  <c r="B89" i="8"/>
  <c r="H93" i="8"/>
  <c r="B99" i="8"/>
  <c r="B101" i="8"/>
  <c r="B105" i="8"/>
  <c r="B113" i="8"/>
  <c r="B136" i="8"/>
  <c r="B140" i="8"/>
  <c r="B143" i="8"/>
  <c r="F147" i="8"/>
  <c r="B166" i="8"/>
  <c r="D168" i="8"/>
  <c r="F174" i="8"/>
  <c r="C182" i="8"/>
  <c r="F184" i="8"/>
  <c r="D191" i="8"/>
  <c r="G197" i="8"/>
  <c r="D198" i="8"/>
  <c r="B200" i="8"/>
  <c r="D206" i="8"/>
  <c r="H226" i="8"/>
  <c r="D227" i="8"/>
  <c r="C321" i="8"/>
  <c r="F338" i="8"/>
  <c r="C342" i="8"/>
  <c r="B14" i="7"/>
  <c r="I22" i="7"/>
  <c r="H22" i="7"/>
  <c r="E23" i="7"/>
  <c r="I25" i="7"/>
  <c r="D79" i="7"/>
  <c r="I79" i="7"/>
  <c r="C105" i="7"/>
  <c r="E143" i="7"/>
  <c r="I143" i="7"/>
  <c r="D143" i="7"/>
  <c r="I279" i="7"/>
  <c r="E279" i="7"/>
  <c r="F285" i="7"/>
  <c r="H285" i="7"/>
  <c r="B285" i="7"/>
  <c r="D4" i="7"/>
  <c r="G14" i="7"/>
  <c r="C22" i="7"/>
  <c r="D23" i="7"/>
  <c r="I26" i="7"/>
  <c r="H26" i="7"/>
  <c r="F29" i="7"/>
  <c r="G39" i="7"/>
  <c r="E39" i="7"/>
  <c r="G50" i="7"/>
  <c r="B50" i="7"/>
  <c r="G58" i="7"/>
  <c r="G66" i="7"/>
  <c r="H75" i="7"/>
  <c r="G75" i="7"/>
  <c r="E79" i="7"/>
  <c r="D87" i="7"/>
  <c r="I87" i="7"/>
  <c r="H91" i="7"/>
  <c r="G91" i="7"/>
  <c r="D98" i="7"/>
  <c r="D106" i="7"/>
  <c r="D112" i="7"/>
  <c r="E112" i="7"/>
  <c r="I126" i="7"/>
  <c r="C126" i="7"/>
  <c r="G126" i="7"/>
  <c r="D126" i="7"/>
  <c r="B126" i="7"/>
  <c r="D238" i="7"/>
  <c r="I238" i="7"/>
  <c r="F253" i="7"/>
  <c r="B253" i="7"/>
  <c r="F40" i="8"/>
  <c r="C40" i="8"/>
  <c r="B40" i="8"/>
  <c r="H40" i="8"/>
  <c r="D22" i="7"/>
  <c r="I23" i="7"/>
  <c r="D32" i="7"/>
  <c r="I57" i="7"/>
  <c r="C57" i="7"/>
  <c r="I70" i="7"/>
  <c r="H70" i="7"/>
  <c r="B70" i="7"/>
  <c r="D70" i="7"/>
  <c r="E87" i="7"/>
  <c r="D95" i="7"/>
  <c r="E95" i="7"/>
  <c r="D104" i="7"/>
  <c r="I104" i="7"/>
  <c r="F106" i="7"/>
  <c r="I112" i="7"/>
  <c r="I119" i="7"/>
  <c r="H126" i="7"/>
  <c r="G166" i="7"/>
  <c r="F166" i="7"/>
  <c r="B166" i="7"/>
  <c r="G187" i="7"/>
  <c r="D187" i="7"/>
  <c r="C187" i="7"/>
  <c r="I192" i="7"/>
  <c r="E192" i="7"/>
  <c r="C192" i="7"/>
  <c r="C213" i="7"/>
  <c r="H213" i="7"/>
  <c r="F213" i="7"/>
  <c r="B213" i="7"/>
  <c r="D231" i="7"/>
  <c r="I231" i="7"/>
  <c r="E231" i="7"/>
  <c r="I299" i="7"/>
  <c r="D299" i="7"/>
  <c r="G46" i="7"/>
  <c r="B46" i="7"/>
  <c r="I49" i="7"/>
  <c r="C49" i="7"/>
  <c r="H60" i="7"/>
  <c r="F60" i="7"/>
  <c r="I66" i="7"/>
  <c r="D66" i="7"/>
  <c r="H66" i="7"/>
  <c r="B66" i="7"/>
  <c r="C73" i="7"/>
  <c r="E73" i="7"/>
  <c r="D120" i="7"/>
  <c r="I120" i="7"/>
  <c r="E120" i="7"/>
  <c r="I142" i="7"/>
  <c r="H142" i="7"/>
  <c r="D142" i="7"/>
  <c r="C142" i="7"/>
  <c r="D215" i="7"/>
  <c r="I215" i="7"/>
  <c r="F269" i="7"/>
  <c r="D269" i="7"/>
  <c r="I356" i="7"/>
  <c r="D356" i="7"/>
  <c r="C356" i="7"/>
  <c r="H356" i="7"/>
  <c r="B356" i="7"/>
  <c r="G356" i="7"/>
  <c r="G74" i="7"/>
  <c r="I130" i="7"/>
  <c r="C130" i="7"/>
  <c r="H130" i="7"/>
  <c r="I150" i="7"/>
  <c r="C150" i="7"/>
  <c r="H150" i="7"/>
  <c r="I158" i="7"/>
  <c r="C158" i="7"/>
  <c r="E165" i="7"/>
  <c r="D179" i="7"/>
  <c r="E230" i="7"/>
  <c r="H233" i="7"/>
  <c r="E262" i="7"/>
  <c r="I262" i="7"/>
  <c r="D262" i="7"/>
  <c r="E264" i="7"/>
  <c r="C264" i="7"/>
  <c r="E280" i="7"/>
  <c r="E286" i="7"/>
  <c r="I286" i="7"/>
  <c r="I288" i="7"/>
  <c r="E288" i="7"/>
  <c r="I307" i="7"/>
  <c r="D307" i="7"/>
  <c r="C307" i="7"/>
  <c r="C315" i="7"/>
  <c r="I315" i="7"/>
  <c r="G315" i="7"/>
  <c r="D315" i="7"/>
  <c r="G343" i="7"/>
  <c r="B343" i="7"/>
  <c r="E2" i="8"/>
  <c r="G2" i="8"/>
  <c r="F2" i="8"/>
  <c r="H124" i="7"/>
  <c r="F124" i="7"/>
  <c r="I146" i="7"/>
  <c r="D146" i="7"/>
  <c r="I154" i="7"/>
  <c r="C154" i="7"/>
  <c r="H154" i="7"/>
  <c r="D191" i="7"/>
  <c r="I191" i="7"/>
  <c r="I197" i="7"/>
  <c r="D197" i="7"/>
  <c r="H197" i="7"/>
  <c r="E216" i="7"/>
  <c r="I239" i="7"/>
  <c r="E270" i="7"/>
  <c r="D270" i="7"/>
  <c r="E278" i="7"/>
  <c r="D278" i="7"/>
  <c r="G298" i="7"/>
  <c r="F298" i="7"/>
  <c r="C305" i="7"/>
  <c r="F326" i="7"/>
  <c r="D326" i="7"/>
  <c r="B326" i="7"/>
  <c r="F329" i="7"/>
  <c r="E329" i="7"/>
  <c r="C329" i="7"/>
  <c r="H338" i="7"/>
  <c r="E338" i="7"/>
  <c r="D338" i="7"/>
  <c r="H353" i="7"/>
  <c r="E353" i="7"/>
  <c r="F31" i="8"/>
  <c r="G31" i="8"/>
  <c r="D31" i="8"/>
  <c r="E33" i="8"/>
  <c r="D33" i="8"/>
  <c r="C33" i="8"/>
  <c r="H33" i="8"/>
  <c r="B33" i="8"/>
  <c r="H38" i="8"/>
  <c r="F38" i="8"/>
  <c r="C38" i="8"/>
  <c r="G163" i="7"/>
  <c r="I170" i="7"/>
  <c r="D170" i="7"/>
  <c r="H170" i="7"/>
  <c r="G10" i="7"/>
  <c r="E40" i="7"/>
  <c r="I48" i="7"/>
  <c r="I56" i="7"/>
  <c r="G62" i="7"/>
  <c r="I65" i="7"/>
  <c r="C74" i="7"/>
  <c r="D78" i="7"/>
  <c r="D82" i="7"/>
  <c r="D86" i="7"/>
  <c r="D90" i="7"/>
  <c r="E113" i="7"/>
  <c r="G114" i="7"/>
  <c r="C129" i="7"/>
  <c r="E129" i="7"/>
  <c r="D130" i="7"/>
  <c r="F141" i="7"/>
  <c r="C146" i="7"/>
  <c r="D150" i="7"/>
  <c r="D151" i="7"/>
  <c r="B154" i="7"/>
  <c r="H158" i="7"/>
  <c r="D163" i="7"/>
  <c r="F165" i="7"/>
  <c r="B170" i="7"/>
  <c r="H172" i="7"/>
  <c r="I174" i="7"/>
  <c r="C174" i="7"/>
  <c r="E191" i="7"/>
  <c r="B197" i="7"/>
  <c r="I201" i="7"/>
  <c r="H201" i="7"/>
  <c r="B201" i="7"/>
  <c r="C216" i="7"/>
  <c r="H229" i="7"/>
  <c r="G229" i="7"/>
  <c r="I230" i="7"/>
  <c r="I232" i="7"/>
  <c r="B233" i="7"/>
  <c r="G234" i="7"/>
  <c r="H234" i="7"/>
  <c r="D239" i="7"/>
  <c r="E247" i="7"/>
  <c r="G250" i="7"/>
  <c r="C250" i="7"/>
  <c r="D263" i="7"/>
  <c r="I263" i="7"/>
  <c r="E263" i="7"/>
  <c r="C265" i="7"/>
  <c r="B265" i="7"/>
  <c r="I270" i="7"/>
  <c r="I278" i="7"/>
  <c r="D287" i="7"/>
  <c r="I287" i="7"/>
  <c r="H289" i="7"/>
  <c r="D289" i="7"/>
  <c r="D298" i="7"/>
  <c r="E303" i="7"/>
  <c r="G303" i="7"/>
  <c r="I310" i="7"/>
  <c r="C310" i="7"/>
  <c r="H310" i="7"/>
  <c r="B310" i="7"/>
  <c r="G332" i="7"/>
  <c r="C332" i="7"/>
  <c r="G33" i="8"/>
  <c r="G36" i="8"/>
  <c r="F36" i="8"/>
  <c r="G39" i="8"/>
  <c r="F39" i="8"/>
  <c r="D39" i="8"/>
  <c r="G53" i="8"/>
  <c r="G68" i="8"/>
  <c r="F68" i="8"/>
  <c r="E81" i="8"/>
  <c r="D81" i="8"/>
  <c r="H81" i="8"/>
  <c r="G83" i="8"/>
  <c r="D83" i="8"/>
  <c r="F102" i="8"/>
  <c r="H102" i="8"/>
  <c r="E107" i="8"/>
  <c r="D107" i="8"/>
  <c r="F120" i="8"/>
  <c r="H120" i="8"/>
  <c r="F123" i="8"/>
  <c r="B123" i="8"/>
  <c r="E128" i="8"/>
  <c r="C128" i="8"/>
  <c r="H128" i="8"/>
  <c r="B128" i="8"/>
  <c r="E144" i="8"/>
  <c r="D144" i="8"/>
  <c r="G144" i="8"/>
  <c r="C144" i="8"/>
  <c r="B144" i="8"/>
  <c r="E156" i="8"/>
  <c r="H156" i="8"/>
  <c r="B156" i="8"/>
  <c r="G156" i="8"/>
  <c r="D156" i="8"/>
  <c r="C156" i="8"/>
  <c r="C160" i="8"/>
  <c r="F160" i="8"/>
  <c r="D160" i="8"/>
  <c r="E183" i="8"/>
  <c r="D183" i="8"/>
  <c r="G183" i="8"/>
  <c r="C183" i="8"/>
  <c r="B183" i="8"/>
  <c r="F185" i="8"/>
  <c r="B185" i="8"/>
  <c r="G204" i="8"/>
  <c r="B204" i="8"/>
  <c r="F233" i="8"/>
  <c r="D233" i="8"/>
  <c r="B233" i="8"/>
  <c r="G134" i="7"/>
  <c r="G138" i="7"/>
  <c r="F277" i="7"/>
  <c r="F297" i="7"/>
  <c r="F313" i="7"/>
  <c r="D314" i="7"/>
  <c r="F318" i="7"/>
  <c r="E319" i="7"/>
  <c r="I323" i="7"/>
  <c r="C325" i="7"/>
  <c r="E337" i="7"/>
  <c r="F344" i="7"/>
  <c r="C348" i="7"/>
  <c r="F352" i="7"/>
  <c r="D360" i="7"/>
  <c r="C9" i="8"/>
  <c r="C13" i="8"/>
  <c r="E21" i="8"/>
  <c r="G28" i="8"/>
  <c r="C32" i="8"/>
  <c r="F34" i="8"/>
  <c r="D37" i="8"/>
  <c r="G41" i="8"/>
  <c r="G45" i="8"/>
  <c r="H46" i="8"/>
  <c r="D49" i="8"/>
  <c r="C50" i="8"/>
  <c r="D51" i="8"/>
  <c r="B53" i="8"/>
  <c r="H53" i="8"/>
  <c r="H54" i="8"/>
  <c r="G55" i="8"/>
  <c r="F56" i="8"/>
  <c r="C57" i="8"/>
  <c r="C61" i="8"/>
  <c r="D63" i="8"/>
  <c r="F64" i="8"/>
  <c r="D66" i="8"/>
  <c r="E69" i="8"/>
  <c r="D69" i="8"/>
  <c r="H69" i="8"/>
  <c r="C72" i="8"/>
  <c r="B81" i="8"/>
  <c r="C94" i="8"/>
  <c r="C102" i="8"/>
  <c r="B107" i="8"/>
  <c r="H108" i="8"/>
  <c r="F112" i="8"/>
  <c r="C112" i="8"/>
  <c r="F118" i="8"/>
  <c r="H118" i="8"/>
  <c r="C118" i="8"/>
  <c r="C120" i="8"/>
  <c r="H123" i="8"/>
  <c r="F127" i="8"/>
  <c r="C127" i="8"/>
  <c r="D128" i="8"/>
  <c r="C133" i="8"/>
  <c r="D137" i="8"/>
  <c r="C137" i="8"/>
  <c r="C141" i="8"/>
  <c r="F141" i="8"/>
  <c r="H144" i="8"/>
  <c r="G157" i="8"/>
  <c r="D157" i="8"/>
  <c r="E171" i="8"/>
  <c r="C171" i="8"/>
  <c r="G171" i="8"/>
  <c r="D171" i="8"/>
  <c r="B171" i="8"/>
  <c r="H183" i="8"/>
  <c r="E194" i="8"/>
  <c r="D194" i="8"/>
  <c r="G194" i="8"/>
  <c r="C194" i="8"/>
  <c r="B194" i="8"/>
  <c r="G314" i="7"/>
  <c r="G319" i="7"/>
  <c r="F325" i="7"/>
  <c r="I337" i="7"/>
  <c r="D348" i="7"/>
  <c r="G360" i="7"/>
  <c r="E9" i="8"/>
  <c r="E13" i="8"/>
  <c r="G37" i="8"/>
  <c r="G49" i="8"/>
  <c r="D50" i="8"/>
  <c r="C53" i="8"/>
  <c r="H56" i="8"/>
  <c r="G63" i="8"/>
  <c r="F72" i="8"/>
  <c r="C81" i="8"/>
  <c r="E95" i="8"/>
  <c r="G95" i="8"/>
  <c r="E97" i="8"/>
  <c r="C97" i="8"/>
  <c r="H97" i="8"/>
  <c r="E103" i="8"/>
  <c r="G103" i="8"/>
  <c r="G107" i="8"/>
  <c r="E109" i="8"/>
  <c r="C109" i="8"/>
  <c r="H109" i="8"/>
  <c r="E111" i="8"/>
  <c r="B111" i="8"/>
  <c r="E119" i="8"/>
  <c r="G119" i="8"/>
  <c r="D119" i="8"/>
  <c r="E124" i="8"/>
  <c r="C124" i="8"/>
  <c r="H124" i="8"/>
  <c r="B124" i="8"/>
  <c r="G128" i="8"/>
  <c r="E218" i="8"/>
  <c r="H218" i="8"/>
  <c r="B218" i="8"/>
  <c r="D218" i="8"/>
  <c r="G218" i="8"/>
  <c r="C218" i="8"/>
  <c r="G348" i="7"/>
  <c r="C19" i="8"/>
  <c r="D35" i="8"/>
  <c r="B37" i="8"/>
  <c r="H37" i="8"/>
  <c r="D47" i="8"/>
  <c r="B49" i="8"/>
  <c r="H49" i="8"/>
  <c r="F52" i="8"/>
  <c r="D53" i="8"/>
  <c r="G57" i="8"/>
  <c r="G61" i="8"/>
  <c r="E65" i="8"/>
  <c r="H65" i="8"/>
  <c r="B65" i="8"/>
  <c r="D67" i="8"/>
  <c r="F70" i="8"/>
  <c r="H72" i="8"/>
  <c r="F78" i="8"/>
  <c r="H78" i="8"/>
  <c r="G81" i="8"/>
  <c r="E85" i="8"/>
  <c r="H85" i="8"/>
  <c r="B85" i="8"/>
  <c r="C90" i="8"/>
  <c r="B95" i="8"/>
  <c r="B97" i="8"/>
  <c r="B109" i="8"/>
  <c r="D111" i="8"/>
  <c r="E113" i="8"/>
  <c r="C113" i="8"/>
  <c r="H113" i="8"/>
  <c r="B119" i="8"/>
  <c r="D124" i="8"/>
  <c r="E148" i="8"/>
  <c r="D148" i="8"/>
  <c r="G148" i="8"/>
  <c r="C148" i="8"/>
  <c r="B148" i="8"/>
  <c r="G189" i="8"/>
  <c r="B189" i="8"/>
  <c r="F208" i="8"/>
  <c r="D208" i="8"/>
  <c r="B208" i="8"/>
  <c r="G132" i="8"/>
  <c r="H135" i="8"/>
  <c r="E152" i="8"/>
  <c r="D152" i="8"/>
  <c r="H152" i="8"/>
  <c r="C159" i="8"/>
  <c r="E163" i="8"/>
  <c r="C163" i="8"/>
  <c r="H163" i="8"/>
  <c r="F168" i="8"/>
  <c r="E175" i="8"/>
  <c r="D175" i="8"/>
  <c r="H175" i="8"/>
  <c r="F177" i="8"/>
  <c r="B177" i="8"/>
  <c r="D179" i="8"/>
  <c r="F193" i="8"/>
  <c r="H193" i="8"/>
  <c r="F195" i="8"/>
  <c r="C195" i="8"/>
  <c r="D200" i="8"/>
  <c r="E202" i="8"/>
  <c r="D202" i="8"/>
  <c r="H202" i="8"/>
  <c r="G73" i="8"/>
  <c r="G77" i="8"/>
  <c r="G89" i="8"/>
  <c r="G93" i="8"/>
  <c r="G101" i="8"/>
  <c r="G105" i="8"/>
  <c r="G117" i="8"/>
  <c r="D126" i="8"/>
  <c r="B132" i="8"/>
  <c r="H132" i="8"/>
  <c r="G136" i="8"/>
  <c r="G140" i="8"/>
  <c r="D145" i="8"/>
  <c r="B147" i="8"/>
  <c r="F149" i="8"/>
  <c r="B152" i="8"/>
  <c r="D153" i="8"/>
  <c r="C153" i="8"/>
  <c r="F155" i="8"/>
  <c r="B163" i="8"/>
  <c r="E167" i="8"/>
  <c r="D167" i="8"/>
  <c r="H167" i="8"/>
  <c r="F169" i="8"/>
  <c r="B169" i="8"/>
  <c r="B175" i="8"/>
  <c r="D184" i="8"/>
  <c r="E187" i="8"/>
  <c r="C187" i="8"/>
  <c r="H187" i="8"/>
  <c r="E190" i="8"/>
  <c r="B190" i="8"/>
  <c r="B193" i="8"/>
  <c r="D195" i="8"/>
  <c r="F199" i="8"/>
  <c r="F201" i="8"/>
  <c r="H201" i="8"/>
  <c r="B202" i="8"/>
  <c r="F203" i="8"/>
  <c r="C203" i="8"/>
  <c r="E210" i="8"/>
  <c r="D210" i="8"/>
  <c r="H210" i="8"/>
  <c r="E214" i="8"/>
  <c r="D214" i="8"/>
  <c r="H214" i="8"/>
  <c r="B214" i="8"/>
  <c r="E159" i="8"/>
  <c r="D159" i="8"/>
  <c r="H159" i="8"/>
  <c r="F161" i="8"/>
  <c r="B161" i="8"/>
  <c r="E179" i="8"/>
  <c r="C179" i="8"/>
  <c r="H179" i="8"/>
  <c r="F209" i="8"/>
  <c r="H209" i="8"/>
  <c r="F211" i="8"/>
  <c r="C211" i="8"/>
  <c r="E222" i="8"/>
  <c r="D222" i="8"/>
  <c r="C222" i="8"/>
  <c r="H222" i="8"/>
  <c r="B222" i="8"/>
  <c r="G235" i="8"/>
  <c r="G239" i="8"/>
  <c r="G191" i="8"/>
  <c r="G198" i="8"/>
  <c r="G206" i="8"/>
  <c r="H217" i="8"/>
  <c r="C221" i="8"/>
  <c r="G227" i="8"/>
  <c r="D228" i="8"/>
  <c r="G231" i="8"/>
  <c r="B234" i="8"/>
  <c r="B235" i="8"/>
  <c r="H235" i="8"/>
  <c r="B239" i="8"/>
  <c r="H239" i="8"/>
  <c r="C242" i="8"/>
  <c r="C243" i="8"/>
  <c r="C317" i="8"/>
  <c r="C325" i="8"/>
  <c r="F326" i="8"/>
  <c r="B335" i="8"/>
  <c r="B340" i="8"/>
  <c r="C234" i="8"/>
  <c r="C235" i="8"/>
  <c r="C239" i="8"/>
  <c r="F317" i="8"/>
  <c r="F325" i="8"/>
  <c r="B338" i="8"/>
  <c r="H221" i="8"/>
  <c r="H234" i="8"/>
  <c r="D235" i="8"/>
  <c r="C236" i="8"/>
  <c r="F238" i="8"/>
  <c r="D239" i="8"/>
  <c r="H243" i="8"/>
  <c r="E47" i="7"/>
  <c r="D47" i="7"/>
  <c r="F64" i="7"/>
  <c r="E64" i="7"/>
  <c r="D64" i="7"/>
  <c r="E81" i="7"/>
  <c r="C81" i="7"/>
  <c r="I88" i="7"/>
  <c r="E88" i="7"/>
  <c r="I97" i="7"/>
  <c r="E97" i="7"/>
  <c r="D167" i="7"/>
  <c r="C167" i="7"/>
  <c r="H203" i="7"/>
  <c r="F203" i="7"/>
  <c r="I205" i="7"/>
  <c r="D205" i="7"/>
  <c r="C205" i="7"/>
  <c r="H205" i="7"/>
  <c r="F219" i="7"/>
  <c r="H219" i="7"/>
  <c r="I273" i="7"/>
  <c r="G273" i="7"/>
  <c r="B273" i="7"/>
  <c r="F273" i="7"/>
  <c r="D273" i="7"/>
  <c r="C273" i="7"/>
  <c r="I24" i="7"/>
  <c r="E24" i="7"/>
  <c r="I33" i="7"/>
  <c r="E33" i="7"/>
  <c r="E111" i="7"/>
  <c r="D111" i="7"/>
  <c r="H28" i="7"/>
  <c r="F28" i="7"/>
  <c r="C33" i="7"/>
  <c r="F34" i="7"/>
  <c r="F38" i="7"/>
  <c r="F44" i="7"/>
  <c r="F46" i="7"/>
  <c r="I47" i="7"/>
  <c r="H92" i="7"/>
  <c r="F92" i="7"/>
  <c r="C97" i="7"/>
  <c r="F98" i="7"/>
  <c r="F102" i="7"/>
  <c r="I122" i="7"/>
  <c r="D122" i="7"/>
  <c r="H122" i="7"/>
  <c r="C122" i="7"/>
  <c r="G125" i="7"/>
  <c r="F125" i="7"/>
  <c r="I127" i="7"/>
  <c r="E127" i="7"/>
  <c r="E157" i="7"/>
  <c r="B157" i="7"/>
  <c r="I162" i="7"/>
  <c r="H162" i="7"/>
  <c r="C162" i="7"/>
  <c r="G162" i="7"/>
  <c r="B162" i="7"/>
  <c r="G167" i="7"/>
  <c r="G171" i="7"/>
  <c r="D171" i="7"/>
  <c r="I182" i="7"/>
  <c r="D182" i="7"/>
  <c r="H182" i="7"/>
  <c r="C182" i="7"/>
  <c r="E199" i="7"/>
  <c r="D199" i="7"/>
  <c r="B203" i="7"/>
  <c r="B205" i="7"/>
  <c r="E206" i="7"/>
  <c r="D206" i="7"/>
  <c r="B219" i="7"/>
  <c r="D222" i="7"/>
  <c r="I222" i="7"/>
  <c r="E222" i="7"/>
  <c r="I225" i="7"/>
  <c r="H225" i="7"/>
  <c r="C225" i="7"/>
  <c r="D225" i="7"/>
  <c r="B225" i="7"/>
  <c r="I245" i="7"/>
  <c r="D245" i="7"/>
  <c r="F245" i="7"/>
  <c r="C245" i="7"/>
  <c r="H245" i="7"/>
  <c r="B245" i="7"/>
  <c r="H273" i="7"/>
  <c r="I294" i="7"/>
  <c r="D294" i="7"/>
  <c r="C294" i="7"/>
  <c r="G294" i="7"/>
  <c r="F294" i="7"/>
  <c r="B294" i="7"/>
  <c r="F12" i="7"/>
  <c r="D12" i="7"/>
  <c r="I30" i="7"/>
  <c r="H30" i="7"/>
  <c r="C30" i="7"/>
  <c r="G30" i="7"/>
  <c r="B30" i="7"/>
  <c r="I94" i="7"/>
  <c r="H94" i="7"/>
  <c r="C94" i="7"/>
  <c r="G94" i="7"/>
  <c r="B94" i="7"/>
  <c r="E128" i="7"/>
  <c r="D128" i="7"/>
  <c r="D24" i="7"/>
  <c r="I58" i="7"/>
  <c r="D58" i="7"/>
  <c r="H58" i="7"/>
  <c r="C58" i="7"/>
  <c r="G61" i="7"/>
  <c r="F61" i="7"/>
  <c r="I63" i="7"/>
  <c r="E63" i="7"/>
  <c r="I64" i="7"/>
  <c r="I80" i="7"/>
  <c r="E80" i="7"/>
  <c r="I81" i="7"/>
  <c r="D88" i="7"/>
  <c r="F108" i="7"/>
  <c r="F110" i="7"/>
  <c r="I111" i="7"/>
  <c r="E145" i="7"/>
  <c r="C145" i="7"/>
  <c r="I2" i="7"/>
  <c r="H2" i="7"/>
  <c r="C2" i="7"/>
  <c r="G2" i="7"/>
  <c r="B2" i="7"/>
  <c r="E8" i="7"/>
  <c r="I14" i="7"/>
  <c r="D14" i="7"/>
  <c r="H14" i="7"/>
  <c r="C14" i="7"/>
  <c r="I18" i="7"/>
  <c r="H18" i="7"/>
  <c r="C18" i="7"/>
  <c r="G18" i="7"/>
  <c r="B18" i="7"/>
  <c r="F30" i="7"/>
  <c r="I42" i="7"/>
  <c r="H42" i="7"/>
  <c r="C42" i="7"/>
  <c r="G42" i="7"/>
  <c r="B42" i="7"/>
  <c r="I50" i="7"/>
  <c r="D50" i="7"/>
  <c r="H50" i="7"/>
  <c r="C50" i="7"/>
  <c r="I54" i="7"/>
  <c r="D54" i="7"/>
  <c r="H54" i="7"/>
  <c r="C54" i="7"/>
  <c r="B58" i="7"/>
  <c r="H59" i="7"/>
  <c r="G59" i="7"/>
  <c r="D63" i="7"/>
  <c r="E72" i="7"/>
  <c r="D72" i="7"/>
  <c r="D80" i="7"/>
  <c r="F94" i="7"/>
  <c r="I106" i="7"/>
  <c r="H106" i="7"/>
  <c r="C106" i="7"/>
  <c r="G106" i="7"/>
  <c r="B106" i="7"/>
  <c r="I114" i="7"/>
  <c r="D114" i="7"/>
  <c r="H114" i="7"/>
  <c r="C114" i="7"/>
  <c r="I118" i="7"/>
  <c r="D118" i="7"/>
  <c r="H118" i="7"/>
  <c r="C118" i="7"/>
  <c r="B122" i="7"/>
  <c r="H123" i="7"/>
  <c r="G123" i="7"/>
  <c r="D127" i="7"/>
  <c r="E136" i="7"/>
  <c r="D136" i="7"/>
  <c r="I144" i="7"/>
  <c r="E144" i="7"/>
  <c r="I145" i="7"/>
  <c r="F157" i="7"/>
  <c r="D162" i="7"/>
  <c r="E164" i="7"/>
  <c r="H167" i="7"/>
  <c r="C171" i="7"/>
  <c r="B182" i="7"/>
  <c r="D183" i="7"/>
  <c r="C183" i="7"/>
  <c r="H188" i="7"/>
  <c r="E188" i="7"/>
  <c r="I190" i="7"/>
  <c r="H190" i="7"/>
  <c r="C190" i="7"/>
  <c r="G190" i="7"/>
  <c r="B190" i="7"/>
  <c r="I193" i="7"/>
  <c r="D193" i="7"/>
  <c r="H193" i="7"/>
  <c r="C193" i="7"/>
  <c r="I198" i="7"/>
  <c r="E198" i="7"/>
  <c r="I199" i="7"/>
  <c r="H202" i="7"/>
  <c r="G202" i="7"/>
  <c r="G204" i="7"/>
  <c r="F204" i="7"/>
  <c r="F205" i="7"/>
  <c r="I206" i="7"/>
  <c r="F225" i="7"/>
  <c r="G245" i="7"/>
  <c r="I271" i="7"/>
  <c r="E271" i="7"/>
  <c r="D271" i="7"/>
  <c r="H294" i="7"/>
  <c r="I302" i="7"/>
  <c r="D302" i="7"/>
  <c r="F302" i="7"/>
  <c r="G302" i="7"/>
  <c r="C302" i="7"/>
  <c r="B302" i="7"/>
  <c r="E25" i="7"/>
  <c r="C25" i="7"/>
  <c r="I34" i="7"/>
  <c r="H34" i="7"/>
  <c r="C34" i="7"/>
  <c r="G34" i="7"/>
  <c r="B34" i="7"/>
  <c r="I38" i="7"/>
  <c r="H38" i="7"/>
  <c r="C38" i="7"/>
  <c r="G38" i="7"/>
  <c r="B38" i="7"/>
  <c r="I41" i="7"/>
  <c r="E41" i="7"/>
  <c r="I46" i="7"/>
  <c r="D46" i="7"/>
  <c r="H46" i="7"/>
  <c r="C46" i="7"/>
  <c r="E55" i="7"/>
  <c r="D55" i="7"/>
  <c r="I71" i="7"/>
  <c r="E71" i="7"/>
  <c r="E89" i="7"/>
  <c r="C89" i="7"/>
  <c r="I98" i="7"/>
  <c r="H98" i="7"/>
  <c r="C98" i="7"/>
  <c r="G98" i="7"/>
  <c r="B98" i="7"/>
  <c r="I102" i="7"/>
  <c r="H102" i="7"/>
  <c r="C102" i="7"/>
  <c r="G102" i="7"/>
  <c r="B102" i="7"/>
  <c r="I105" i="7"/>
  <c r="E105" i="7"/>
  <c r="I110" i="7"/>
  <c r="D110" i="7"/>
  <c r="H110" i="7"/>
  <c r="C110" i="7"/>
  <c r="E119" i="7"/>
  <c r="D119" i="7"/>
  <c r="F122" i="7"/>
  <c r="I135" i="7"/>
  <c r="E135" i="7"/>
  <c r="G155" i="7"/>
  <c r="D155" i="7"/>
  <c r="F162" i="7"/>
  <c r="I166" i="7"/>
  <c r="D166" i="7"/>
  <c r="H166" i="7"/>
  <c r="C166" i="7"/>
  <c r="H171" i="7"/>
  <c r="E173" i="7"/>
  <c r="B173" i="7"/>
  <c r="I178" i="7"/>
  <c r="H178" i="7"/>
  <c r="C178" i="7"/>
  <c r="G178" i="7"/>
  <c r="B178" i="7"/>
  <c r="F182" i="7"/>
  <c r="F189" i="7"/>
  <c r="E189" i="7"/>
  <c r="G205" i="7"/>
  <c r="I209" i="7"/>
  <c r="H209" i="7"/>
  <c r="C209" i="7"/>
  <c r="F209" i="7"/>
  <c r="D209" i="7"/>
  <c r="G218" i="7"/>
  <c r="H218" i="7"/>
  <c r="C218" i="7"/>
  <c r="I224" i="7"/>
  <c r="E224" i="7"/>
  <c r="C224" i="7"/>
  <c r="G225" i="7"/>
  <c r="I229" i="7"/>
  <c r="D229" i="7"/>
  <c r="F229" i="7"/>
  <c r="C229" i="7"/>
  <c r="F235" i="7"/>
  <c r="H235" i="7"/>
  <c r="B235" i="7"/>
  <c r="F252" i="7"/>
  <c r="G252" i="7"/>
  <c r="B252" i="7"/>
  <c r="E272" i="7"/>
  <c r="I272" i="7"/>
  <c r="C272" i="7"/>
  <c r="H302" i="7"/>
  <c r="I336" i="7"/>
  <c r="G336" i="7"/>
  <c r="B336" i="7"/>
  <c r="C336" i="7"/>
  <c r="F336" i="7"/>
  <c r="B3" i="8"/>
  <c r="G3" i="8"/>
  <c r="E3" i="8"/>
  <c r="C3" i="8"/>
  <c r="F6" i="7"/>
  <c r="F22" i="7"/>
  <c r="F26" i="7"/>
  <c r="F78" i="7"/>
  <c r="F82" i="7"/>
  <c r="H163" i="7"/>
  <c r="F174" i="7"/>
  <c r="H179" i="7"/>
  <c r="I241" i="7"/>
  <c r="H241" i="7"/>
  <c r="C241" i="7"/>
  <c r="G241" i="7"/>
  <c r="I246" i="7"/>
  <c r="I247" i="7"/>
  <c r="D253" i="7"/>
  <c r="C261" i="7"/>
  <c r="I269" i="7"/>
  <c r="G269" i="7"/>
  <c r="B269" i="7"/>
  <c r="H269" i="7"/>
  <c r="I281" i="7"/>
  <c r="G281" i="7"/>
  <c r="B281" i="7"/>
  <c r="H281" i="7"/>
  <c r="C285" i="7"/>
  <c r="G291" i="7"/>
  <c r="I291" i="7"/>
  <c r="B293" i="7"/>
  <c r="F293" i="7"/>
  <c r="E295" i="7"/>
  <c r="B301" i="7"/>
  <c r="I301" i="7"/>
  <c r="E305" i="7"/>
  <c r="F306" i="7"/>
  <c r="C309" i="7"/>
  <c r="F309" i="7"/>
  <c r="F317" i="7"/>
  <c r="I317" i="7"/>
  <c r="B317" i="7"/>
  <c r="C321" i="7"/>
  <c r="E321" i="7"/>
  <c r="G322" i="7"/>
  <c r="I330" i="7"/>
  <c r="B330" i="7"/>
  <c r="H330" i="7"/>
  <c r="D330" i="7"/>
  <c r="D336" i="7"/>
  <c r="H341" i="7"/>
  <c r="E341" i="7"/>
  <c r="E347" i="7"/>
  <c r="B347" i="7"/>
  <c r="G347" i="7"/>
  <c r="G311" i="7"/>
  <c r="E311" i="7"/>
  <c r="F86" i="7"/>
  <c r="F90" i="7"/>
  <c r="F142" i="7"/>
  <c r="F146" i="7"/>
  <c r="F158" i="7"/>
  <c r="F186" i="7"/>
  <c r="I217" i="7"/>
  <c r="D217" i="7"/>
  <c r="G217" i="7"/>
  <c r="I221" i="7"/>
  <c r="H221" i="7"/>
  <c r="C221" i="7"/>
  <c r="G221" i="7"/>
  <c r="G236" i="7"/>
  <c r="C249" i="7"/>
  <c r="B6" i="7"/>
  <c r="G6" i="7"/>
  <c r="F10" i="7"/>
  <c r="E16" i="7"/>
  <c r="B22" i="7"/>
  <c r="G22" i="7"/>
  <c r="B26" i="7"/>
  <c r="G26" i="7"/>
  <c r="D39" i="7"/>
  <c r="G43" i="7"/>
  <c r="F45" i="7"/>
  <c r="F62" i="7"/>
  <c r="F66" i="7"/>
  <c r="F70" i="7"/>
  <c r="F74" i="7"/>
  <c r="F76" i="7"/>
  <c r="B78" i="7"/>
  <c r="G78" i="7"/>
  <c r="B82" i="7"/>
  <c r="G82" i="7"/>
  <c r="B86" i="7"/>
  <c r="G86" i="7"/>
  <c r="B90" i="7"/>
  <c r="G90" i="7"/>
  <c r="G107" i="7"/>
  <c r="F109" i="7"/>
  <c r="F126" i="7"/>
  <c r="F130" i="7"/>
  <c r="F134" i="7"/>
  <c r="F138" i="7"/>
  <c r="B142" i="7"/>
  <c r="G142" i="7"/>
  <c r="B146" i="7"/>
  <c r="G146" i="7"/>
  <c r="F150" i="7"/>
  <c r="F154" i="7"/>
  <c r="B158" i="7"/>
  <c r="G158" i="7"/>
  <c r="H159" i="7"/>
  <c r="C163" i="7"/>
  <c r="F170" i="7"/>
  <c r="B174" i="7"/>
  <c r="G174" i="7"/>
  <c r="H175" i="7"/>
  <c r="C179" i="7"/>
  <c r="B186" i="7"/>
  <c r="G186" i="7"/>
  <c r="H187" i="7"/>
  <c r="F197" i="7"/>
  <c r="F201" i="7"/>
  <c r="I213" i="7"/>
  <c r="D213" i="7"/>
  <c r="G213" i="7"/>
  <c r="D214" i="7"/>
  <c r="E215" i="7"/>
  <c r="B217" i="7"/>
  <c r="H217" i="7"/>
  <c r="B221" i="7"/>
  <c r="I233" i="7"/>
  <c r="D233" i="7"/>
  <c r="G233" i="7"/>
  <c r="C234" i="7"/>
  <c r="I237" i="7"/>
  <c r="H237" i="7"/>
  <c r="C237" i="7"/>
  <c r="G237" i="7"/>
  <c r="E238" i="7"/>
  <c r="C240" i="7"/>
  <c r="B241" i="7"/>
  <c r="B251" i="7"/>
  <c r="I257" i="7"/>
  <c r="H257" i="7"/>
  <c r="C257" i="7"/>
  <c r="G257" i="7"/>
  <c r="I265" i="7"/>
  <c r="D265" i="7"/>
  <c r="G265" i="7"/>
  <c r="G266" i="7"/>
  <c r="C269" i="7"/>
  <c r="I277" i="7"/>
  <c r="G277" i="7"/>
  <c r="B277" i="7"/>
  <c r="H277" i="7"/>
  <c r="D279" i="7"/>
  <c r="C280" i="7"/>
  <c r="C281" i="7"/>
  <c r="F284" i="7"/>
  <c r="I289" i="7"/>
  <c r="G289" i="7"/>
  <c r="B289" i="7"/>
  <c r="F289" i="7"/>
  <c r="C291" i="7"/>
  <c r="C293" i="7"/>
  <c r="D295" i="7"/>
  <c r="I298" i="7"/>
  <c r="H298" i="7"/>
  <c r="C298" i="7"/>
  <c r="B298" i="7"/>
  <c r="C301" i="7"/>
  <c r="B309" i="7"/>
  <c r="I314" i="7"/>
  <c r="H314" i="7"/>
  <c r="C314" i="7"/>
  <c r="F314" i="7"/>
  <c r="C317" i="7"/>
  <c r="F321" i="7"/>
  <c r="D327" i="7"/>
  <c r="E327" i="7"/>
  <c r="E330" i="7"/>
  <c r="H336" i="7"/>
  <c r="C339" i="7"/>
  <c r="G339" i="7"/>
  <c r="B339" i="7"/>
  <c r="H342" i="7"/>
  <c r="E342" i="7"/>
  <c r="G359" i="7"/>
  <c r="E359" i="7"/>
  <c r="E25" i="8"/>
  <c r="G25" i="8"/>
  <c r="C25" i="8"/>
  <c r="B25" i="8"/>
  <c r="I249" i="7"/>
  <c r="D249" i="7"/>
  <c r="G249" i="7"/>
  <c r="I253" i="7"/>
  <c r="H253" i="7"/>
  <c r="C253" i="7"/>
  <c r="G253" i="7"/>
  <c r="I261" i="7"/>
  <c r="D261" i="7"/>
  <c r="G261" i="7"/>
  <c r="I285" i="7"/>
  <c r="D285" i="7"/>
  <c r="G285" i="7"/>
  <c r="C299" i="7"/>
  <c r="G299" i="7"/>
  <c r="F305" i="7"/>
  <c r="I306" i="7"/>
  <c r="G306" i="7"/>
  <c r="B306" i="7"/>
  <c r="D306" i="7"/>
  <c r="I322" i="7"/>
  <c r="D322" i="7"/>
  <c r="H322" i="7"/>
  <c r="B322" i="7"/>
  <c r="F322" i="7"/>
  <c r="G327" i="7"/>
  <c r="I332" i="7"/>
  <c r="D332" i="7"/>
  <c r="H332" i="7"/>
  <c r="B332" i="7"/>
  <c r="F332" i="7"/>
  <c r="E339" i="7"/>
  <c r="F342" i="7"/>
  <c r="I345" i="7"/>
  <c r="C345" i="7"/>
  <c r="H345" i="7"/>
  <c r="D345" i="7"/>
  <c r="I347" i="7"/>
  <c r="E355" i="7"/>
  <c r="G355" i="7"/>
  <c r="C355" i="7"/>
  <c r="B355" i="7"/>
  <c r="B17" i="8"/>
  <c r="G17" i="8"/>
  <c r="E17" i="8"/>
  <c r="C17" i="8"/>
  <c r="G26" i="8"/>
  <c r="F26" i="8"/>
  <c r="I318" i="7"/>
  <c r="G318" i="7"/>
  <c r="B318" i="7"/>
  <c r="H318" i="7"/>
  <c r="C331" i="7"/>
  <c r="I331" i="7"/>
  <c r="I340" i="7"/>
  <c r="D340" i="7"/>
  <c r="G340" i="7"/>
  <c r="I344" i="7"/>
  <c r="H344" i="7"/>
  <c r="C344" i="7"/>
  <c r="G344" i="7"/>
  <c r="D346" i="7"/>
  <c r="I346" i="7"/>
  <c r="G5" i="8"/>
  <c r="E19" i="8"/>
  <c r="E23" i="8"/>
  <c r="E38" i="8"/>
  <c r="G38" i="8"/>
  <c r="B38" i="8"/>
  <c r="D38" i="8"/>
  <c r="E39" i="8"/>
  <c r="H39" i="8"/>
  <c r="C39" i="8"/>
  <c r="B39" i="8"/>
  <c r="B43" i="8"/>
  <c r="B44" i="8"/>
  <c r="E54" i="8"/>
  <c r="G54" i="8"/>
  <c r="B54" i="8"/>
  <c r="D54" i="8"/>
  <c r="E55" i="8"/>
  <c r="H55" i="8"/>
  <c r="C55" i="8"/>
  <c r="B55" i="8"/>
  <c r="B59" i="8"/>
  <c r="B60" i="8"/>
  <c r="E70" i="8"/>
  <c r="G70" i="8"/>
  <c r="B70" i="8"/>
  <c r="D70" i="8"/>
  <c r="E71" i="8"/>
  <c r="H71" i="8"/>
  <c r="C71" i="8"/>
  <c r="B71" i="8"/>
  <c r="B75" i="8"/>
  <c r="B76" i="8"/>
  <c r="E86" i="8"/>
  <c r="G86" i="8"/>
  <c r="B86" i="8"/>
  <c r="D86" i="8"/>
  <c r="E87" i="8"/>
  <c r="H87" i="8"/>
  <c r="C87" i="8"/>
  <c r="B87" i="8"/>
  <c r="B91" i="8"/>
  <c r="B92" i="8"/>
  <c r="I353" i="7"/>
  <c r="C353" i="7"/>
  <c r="E27" i="8"/>
  <c r="D27" i="8"/>
  <c r="G27" i="8"/>
  <c r="E29" i="8"/>
  <c r="G29" i="8"/>
  <c r="B29" i="8"/>
  <c r="H29" i="8"/>
  <c r="E35" i="8"/>
  <c r="H35" i="8"/>
  <c r="C35" i="8"/>
  <c r="F35" i="8"/>
  <c r="E36" i="8"/>
  <c r="D36" i="8"/>
  <c r="C36" i="8"/>
  <c r="H36" i="8"/>
  <c r="D43" i="8"/>
  <c r="F44" i="8"/>
  <c r="E51" i="8"/>
  <c r="H51" i="8"/>
  <c r="C51" i="8"/>
  <c r="F51" i="8"/>
  <c r="E52" i="8"/>
  <c r="D52" i="8"/>
  <c r="C52" i="8"/>
  <c r="H52" i="8"/>
  <c r="D59" i="8"/>
  <c r="F60" i="8"/>
  <c r="E67" i="8"/>
  <c r="H67" i="8"/>
  <c r="C67" i="8"/>
  <c r="F67" i="8"/>
  <c r="E68" i="8"/>
  <c r="D68" i="8"/>
  <c r="C68" i="8"/>
  <c r="H68" i="8"/>
  <c r="D75" i="8"/>
  <c r="F76" i="8"/>
  <c r="E83" i="8"/>
  <c r="H83" i="8"/>
  <c r="C83" i="8"/>
  <c r="F83" i="8"/>
  <c r="E84" i="8"/>
  <c r="D84" i="8"/>
  <c r="C84" i="8"/>
  <c r="H84" i="8"/>
  <c r="D91" i="8"/>
  <c r="F92" i="8"/>
  <c r="E96" i="8"/>
  <c r="D96" i="8"/>
  <c r="G96" i="8"/>
  <c r="B96" i="8"/>
  <c r="F96" i="8"/>
  <c r="D318" i="7"/>
  <c r="G323" i="7"/>
  <c r="I326" i="7"/>
  <c r="H326" i="7"/>
  <c r="C326" i="7"/>
  <c r="G326" i="7"/>
  <c r="E331" i="7"/>
  <c r="I338" i="7"/>
  <c r="B338" i="7"/>
  <c r="C340" i="7"/>
  <c r="E343" i="7"/>
  <c r="D344" i="7"/>
  <c r="E346" i="7"/>
  <c r="I352" i="7"/>
  <c r="H352" i="7"/>
  <c r="C352" i="7"/>
  <c r="G352" i="7"/>
  <c r="D353" i="7"/>
  <c r="D354" i="7"/>
  <c r="I354" i="7"/>
  <c r="F358" i="7"/>
  <c r="B5" i="8"/>
  <c r="E10" i="8"/>
  <c r="B27" i="8"/>
  <c r="H27" i="8"/>
  <c r="C29" i="8"/>
  <c r="E30" i="8"/>
  <c r="G30" i="8"/>
  <c r="B30" i="8"/>
  <c r="D30" i="8"/>
  <c r="E31" i="8"/>
  <c r="H31" i="8"/>
  <c r="C31" i="8"/>
  <c r="B31" i="8"/>
  <c r="B35" i="8"/>
  <c r="B36" i="8"/>
  <c r="E46" i="8"/>
  <c r="G46" i="8"/>
  <c r="B46" i="8"/>
  <c r="D46" i="8"/>
  <c r="E47" i="8"/>
  <c r="H47" i="8"/>
  <c r="C47" i="8"/>
  <c r="B47" i="8"/>
  <c r="B51" i="8"/>
  <c r="B52" i="8"/>
  <c r="E62" i="8"/>
  <c r="G62" i="8"/>
  <c r="B62" i="8"/>
  <c r="D62" i="8"/>
  <c r="E63" i="8"/>
  <c r="H63" i="8"/>
  <c r="C63" i="8"/>
  <c r="B63" i="8"/>
  <c r="B67" i="8"/>
  <c r="B68" i="8"/>
  <c r="E78" i="8"/>
  <c r="G78" i="8"/>
  <c r="B78" i="8"/>
  <c r="D78" i="8"/>
  <c r="E79" i="8"/>
  <c r="H79" i="8"/>
  <c r="C79" i="8"/>
  <c r="B79" i="8"/>
  <c r="B83" i="8"/>
  <c r="B84" i="8"/>
  <c r="F86" i="8"/>
  <c r="F87" i="8"/>
  <c r="E94" i="8"/>
  <c r="G94" i="8"/>
  <c r="B94" i="8"/>
  <c r="D94" i="8"/>
  <c r="F94" i="8"/>
  <c r="C96" i="8"/>
  <c r="E43" i="8"/>
  <c r="H43" i="8"/>
  <c r="C43" i="8"/>
  <c r="F43" i="8"/>
  <c r="E44" i="8"/>
  <c r="D44" i="8"/>
  <c r="C44" i="8"/>
  <c r="H44" i="8"/>
  <c r="E59" i="8"/>
  <c r="H59" i="8"/>
  <c r="C59" i="8"/>
  <c r="F59" i="8"/>
  <c r="E60" i="8"/>
  <c r="D60" i="8"/>
  <c r="C60" i="8"/>
  <c r="H60" i="8"/>
  <c r="E75" i="8"/>
  <c r="H75" i="8"/>
  <c r="C75" i="8"/>
  <c r="F75" i="8"/>
  <c r="E76" i="8"/>
  <c r="D76" i="8"/>
  <c r="C76" i="8"/>
  <c r="H76" i="8"/>
  <c r="E91" i="8"/>
  <c r="H91" i="8"/>
  <c r="C91" i="8"/>
  <c r="F91" i="8"/>
  <c r="E92" i="8"/>
  <c r="D92" i="8"/>
  <c r="C92" i="8"/>
  <c r="H92" i="8"/>
  <c r="H96" i="8"/>
  <c r="F310" i="7"/>
  <c r="F348" i="7"/>
  <c r="F356" i="7"/>
  <c r="F360" i="7"/>
  <c r="F28" i="8"/>
  <c r="E32" i="8"/>
  <c r="D32" i="8"/>
  <c r="G32" i="8"/>
  <c r="E34" i="8"/>
  <c r="G34" i="8"/>
  <c r="B34" i="8"/>
  <c r="H34" i="8"/>
  <c r="E40" i="8"/>
  <c r="D40" i="8"/>
  <c r="G40" i="8"/>
  <c r="E42" i="8"/>
  <c r="G42" i="8"/>
  <c r="B42" i="8"/>
  <c r="H42" i="8"/>
  <c r="E48" i="8"/>
  <c r="D48" i="8"/>
  <c r="G48" i="8"/>
  <c r="E50" i="8"/>
  <c r="G50" i="8"/>
  <c r="B50" i="8"/>
  <c r="H50" i="8"/>
  <c r="E56" i="8"/>
  <c r="D56" i="8"/>
  <c r="G56" i="8"/>
  <c r="E58" i="8"/>
  <c r="G58" i="8"/>
  <c r="B58" i="8"/>
  <c r="H58" i="8"/>
  <c r="E64" i="8"/>
  <c r="D64" i="8"/>
  <c r="G64" i="8"/>
  <c r="E66" i="8"/>
  <c r="G66" i="8"/>
  <c r="B66" i="8"/>
  <c r="H66" i="8"/>
  <c r="E72" i="8"/>
  <c r="D72" i="8"/>
  <c r="G72" i="8"/>
  <c r="E74" i="8"/>
  <c r="G74" i="8"/>
  <c r="B74" i="8"/>
  <c r="H74" i="8"/>
  <c r="E80" i="8"/>
  <c r="D80" i="8"/>
  <c r="G80" i="8"/>
  <c r="E82" i="8"/>
  <c r="G82" i="8"/>
  <c r="B82" i="8"/>
  <c r="H82" i="8"/>
  <c r="E88" i="8"/>
  <c r="D88" i="8"/>
  <c r="G88" i="8"/>
  <c r="E90" i="8"/>
  <c r="G90" i="8"/>
  <c r="B90" i="8"/>
  <c r="H90" i="8"/>
  <c r="E98" i="8"/>
  <c r="G98" i="8"/>
  <c r="B98" i="8"/>
  <c r="D98" i="8"/>
  <c r="E100" i="8"/>
  <c r="D100" i="8"/>
  <c r="G100" i="8"/>
  <c r="B100" i="8"/>
  <c r="E106" i="8"/>
  <c r="G106" i="8"/>
  <c r="B106" i="8"/>
  <c r="D106" i="8"/>
  <c r="E108" i="8"/>
  <c r="D108" i="8"/>
  <c r="G108" i="8"/>
  <c r="B108" i="8"/>
  <c r="E114" i="8"/>
  <c r="G114" i="8"/>
  <c r="B114" i="8"/>
  <c r="D114" i="8"/>
  <c r="E116" i="8"/>
  <c r="D116" i="8"/>
  <c r="G116" i="8"/>
  <c r="B116" i="8"/>
  <c r="E130" i="8"/>
  <c r="H130" i="8"/>
  <c r="C130" i="8"/>
  <c r="F130" i="8"/>
  <c r="B130" i="8"/>
  <c r="E134" i="8"/>
  <c r="H134" i="8"/>
  <c r="C134" i="8"/>
  <c r="B134" i="8"/>
  <c r="F134" i="8"/>
  <c r="E172" i="8"/>
  <c r="G172" i="8"/>
  <c r="B172" i="8"/>
  <c r="F172" i="8"/>
  <c r="D172" i="8"/>
  <c r="C172" i="8"/>
  <c r="H172" i="8"/>
  <c r="E154" i="8"/>
  <c r="H154" i="8"/>
  <c r="C154" i="8"/>
  <c r="F154" i="8"/>
  <c r="D154" i="8"/>
  <c r="B154" i="8"/>
  <c r="E170" i="8"/>
  <c r="D170" i="8"/>
  <c r="F170" i="8"/>
  <c r="C170" i="8"/>
  <c r="H170" i="8"/>
  <c r="B170" i="8"/>
  <c r="G170" i="8"/>
  <c r="E102" i="8"/>
  <c r="G102" i="8"/>
  <c r="B102" i="8"/>
  <c r="D102" i="8"/>
  <c r="E104" i="8"/>
  <c r="D104" i="8"/>
  <c r="G104" i="8"/>
  <c r="B104" i="8"/>
  <c r="E110" i="8"/>
  <c r="G110" i="8"/>
  <c r="B110" i="8"/>
  <c r="D110" i="8"/>
  <c r="E112" i="8"/>
  <c r="D112" i="8"/>
  <c r="G112" i="8"/>
  <c r="B112" i="8"/>
  <c r="E118" i="8"/>
  <c r="G118" i="8"/>
  <c r="B118" i="8"/>
  <c r="D118" i="8"/>
  <c r="E120" i="8"/>
  <c r="D120" i="8"/>
  <c r="G120" i="8"/>
  <c r="B120" i="8"/>
  <c r="E122" i="8"/>
  <c r="H122" i="8"/>
  <c r="C122" i="8"/>
  <c r="F122" i="8"/>
  <c r="B122" i="8"/>
  <c r="E126" i="8"/>
  <c r="H126" i="8"/>
  <c r="C126" i="8"/>
  <c r="B126" i="8"/>
  <c r="F126" i="8"/>
  <c r="E138" i="8"/>
  <c r="H138" i="8"/>
  <c r="C138" i="8"/>
  <c r="F138" i="8"/>
  <c r="D138" i="8"/>
  <c r="B138" i="8"/>
  <c r="E146" i="8"/>
  <c r="H146" i="8"/>
  <c r="C146" i="8"/>
  <c r="F146" i="8"/>
  <c r="D146" i="8"/>
  <c r="B146" i="8"/>
  <c r="G154" i="8"/>
  <c r="F95" i="8"/>
  <c r="F99" i="8"/>
  <c r="F103" i="8"/>
  <c r="F107" i="8"/>
  <c r="F111" i="8"/>
  <c r="F115" i="8"/>
  <c r="F119" i="8"/>
  <c r="E123" i="8"/>
  <c r="D123" i="8"/>
  <c r="G123" i="8"/>
  <c r="E125" i="8"/>
  <c r="G125" i="8"/>
  <c r="B125" i="8"/>
  <c r="H125" i="8"/>
  <c r="E131" i="8"/>
  <c r="D131" i="8"/>
  <c r="G131" i="8"/>
  <c r="E133" i="8"/>
  <c r="G133" i="8"/>
  <c r="B133" i="8"/>
  <c r="H133" i="8"/>
  <c r="E139" i="8"/>
  <c r="D139" i="8"/>
  <c r="G139" i="8"/>
  <c r="E141" i="8"/>
  <c r="G141" i="8"/>
  <c r="B141" i="8"/>
  <c r="H141" i="8"/>
  <c r="E147" i="8"/>
  <c r="D147" i="8"/>
  <c r="G147" i="8"/>
  <c r="E149" i="8"/>
  <c r="G149" i="8"/>
  <c r="B149" i="8"/>
  <c r="H149" i="8"/>
  <c r="E155" i="8"/>
  <c r="D155" i="8"/>
  <c r="G155" i="8"/>
  <c r="E157" i="8"/>
  <c r="H157" i="8"/>
  <c r="C157" i="8"/>
  <c r="B157" i="8"/>
  <c r="E142" i="8"/>
  <c r="H142" i="8"/>
  <c r="C142" i="8"/>
  <c r="G142" i="8"/>
  <c r="E150" i="8"/>
  <c r="H150" i="8"/>
  <c r="C150" i="8"/>
  <c r="G150" i="8"/>
  <c r="E162" i="8"/>
  <c r="D162" i="8"/>
  <c r="F162" i="8"/>
  <c r="C162" i="8"/>
  <c r="H162" i="8"/>
  <c r="B162" i="8"/>
  <c r="E164" i="8"/>
  <c r="G164" i="8"/>
  <c r="B164" i="8"/>
  <c r="F164" i="8"/>
  <c r="D164" i="8"/>
  <c r="C164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C95" i="8"/>
  <c r="H95" i="8"/>
  <c r="F97" i="8"/>
  <c r="C99" i="8"/>
  <c r="H99" i="8"/>
  <c r="F101" i="8"/>
  <c r="C103" i="8"/>
  <c r="H103" i="8"/>
  <c r="F105" i="8"/>
  <c r="C107" i="8"/>
  <c r="H107" i="8"/>
  <c r="F109" i="8"/>
  <c r="C111" i="8"/>
  <c r="H111" i="8"/>
  <c r="F113" i="8"/>
  <c r="C115" i="8"/>
  <c r="H115" i="8"/>
  <c r="F117" i="8"/>
  <c r="C119" i="8"/>
  <c r="H119" i="8"/>
  <c r="E121" i="8"/>
  <c r="G121" i="8"/>
  <c r="B121" i="8"/>
  <c r="H121" i="8"/>
  <c r="C123" i="8"/>
  <c r="D125" i="8"/>
  <c r="E127" i="8"/>
  <c r="D127" i="8"/>
  <c r="G127" i="8"/>
  <c r="E129" i="8"/>
  <c r="G129" i="8"/>
  <c r="B129" i="8"/>
  <c r="H129" i="8"/>
  <c r="C131" i="8"/>
  <c r="D133" i="8"/>
  <c r="E135" i="8"/>
  <c r="D135" i="8"/>
  <c r="G135" i="8"/>
  <c r="E137" i="8"/>
  <c r="G137" i="8"/>
  <c r="B137" i="8"/>
  <c r="H137" i="8"/>
  <c r="C139" i="8"/>
  <c r="D141" i="8"/>
  <c r="B142" i="8"/>
  <c r="E143" i="8"/>
  <c r="D143" i="8"/>
  <c r="G143" i="8"/>
  <c r="E145" i="8"/>
  <c r="G145" i="8"/>
  <c r="B145" i="8"/>
  <c r="H145" i="8"/>
  <c r="C147" i="8"/>
  <c r="D149" i="8"/>
  <c r="B150" i="8"/>
  <c r="E151" i="8"/>
  <c r="D151" i="8"/>
  <c r="G151" i="8"/>
  <c r="E153" i="8"/>
  <c r="G153" i="8"/>
  <c r="B153" i="8"/>
  <c r="H153" i="8"/>
  <c r="C155" i="8"/>
  <c r="F157" i="8"/>
  <c r="G162" i="8"/>
  <c r="H164" i="8"/>
  <c r="E178" i="8"/>
  <c r="D178" i="8"/>
  <c r="G178" i="8"/>
  <c r="E180" i="8"/>
  <c r="G180" i="8"/>
  <c r="B180" i="8"/>
  <c r="H180" i="8"/>
  <c r="E186" i="8"/>
  <c r="D186" i="8"/>
  <c r="G186" i="8"/>
  <c r="E188" i="8"/>
  <c r="H188" i="8"/>
  <c r="C188" i="8"/>
  <c r="G188" i="8"/>
  <c r="B188" i="8"/>
  <c r="D257" i="8"/>
  <c r="F257" i="8"/>
  <c r="D273" i="8"/>
  <c r="F273" i="8"/>
  <c r="D161" i="8"/>
  <c r="E165" i="8"/>
  <c r="H165" i="8"/>
  <c r="C165" i="8"/>
  <c r="G165" i="8"/>
  <c r="D169" i="8"/>
  <c r="E173" i="8"/>
  <c r="H173" i="8"/>
  <c r="C173" i="8"/>
  <c r="G173" i="8"/>
  <c r="D177" i="8"/>
  <c r="B178" i="8"/>
  <c r="H178" i="8"/>
  <c r="C180" i="8"/>
  <c r="E181" i="8"/>
  <c r="H181" i="8"/>
  <c r="C181" i="8"/>
  <c r="G181" i="8"/>
  <c r="D185" i="8"/>
  <c r="B186" i="8"/>
  <c r="H186" i="8"/>
  <c r="D188" i="8"/>
  <c r="F189" i="8"/>
  <c r="E197" i="8"/>
  <c r="D197" i="8"/>
  <c r="C197" i="8"/>
  <c r="H197" i="8"/>
  <c r="B197" i="8"/>
  <c r="E205" i="8"/>
  <c r="D205" i="8"/>
  <c r="C205" i="8"/>
  <c r="H205" i="8"/>
  <c r="B205" i="8"/>
  <c r="E213" i="8"/>
  <c r="D213" i="8"/>
  <c r="C213" i="8"/>
  <c r="H213" i="8"/>
  <c r="B213" i="8"/>
  <c r="E237" i="8"/>
  <c r="H237" i="8"/>
  <c r="C237" i="8"/>
  <c r="F237" i="8"/>
  <c r="D237" i="8"/>
  <c r="G237" i="8"/>
  <c r="B237" i="8"/>
  <c r="F124" i="8"/>
  <c r="F128" i="8"/>
  <c r="F132" i="8"/>
  <c r="F136" i="8"/>
  <c r="F140" i="8"/>
  <c r="F144" i="8"/>
  <c r="F148" i="8"/>
  <c r="F152" i="8"/>
  <c r="F156" i="8"/>
  <c r="E158" i="8"/>
  <c r="D158" i="8"/>
  <c r="G158" i="8"/>
  <c r="E160" i="8"/>
  <c r="G160" i="8"/>
  <c r="B160" i="8"/>
  <c r="H160" i="8"/>
  <c r="B165" i="8"/>
  <c r="E166" i="8"/>
  <c r="D166" i="8"/>
  <c r="G166" i="8"/>
  <c r="E168" i="8"/>
  <c r="G168" i="8"/>
  <c r="B168" i="8"/>
  <c r="H168" i="8"/>
  <c r="B173" i="8"/>
  <c r="E174" i="8"/>
  <c r="D174" i="8"/>
  <c r="G174" i="8"/>
  <c r="E176" i="8"/>
  <c r="G176" i="8"/>
  <c r="B176" i="8"/>
  <c r="H176" i="8"/>
  <c r="C178" i="8"/>
  <c r="D180" i="8"/>
  <c r="B181" i="8"/>
  <c r="E182" i="8"/>
  <c r="D182" i="8"/>
  <c r="G182" i="8"/>
  <c r="E184" i="8"/>
  <c r="G184" i="8"/>
  <c r="B184" i="8"/>
  <c r="H184" i="8"/>
  <c r="C186" i="8"/>
  <c r="F188" i="8"/>
  <c r="E192" i="8"/>
  <c r="H192" i="8"/>
  <c r="C192" i="8"/>
  <c r="G192" i="8"/>
  <c r="B192" i="8"/>
  <c r="E196" i="8"/>
  <c r="H196" i="8"/>
  <c r="C196" i="8"/>
  <c r="F196" i="8"/>
  <c r="D196" i="8"/>
  <c r="E199" i="8"/>
  <c r="G199" i="8"/>
  <c r="B199" i="8"/>
  <c r="D199" i="8"/>
  <c r="C199" i="8"/>
  <c r="E204" i="8"/>
  <c r="H204" i="8"/>
  <c r="C204" i="8"/>
  <c r="F204" i="8"/>
  <c r="D204" i="8"/>
  <c r="E207" i="8"/>
  <c r="G207" i="8"/>
  <c r="B207" i="8"/>
  <c r="D207" i="8"/>
  <c r="C207" i="8"/>
  <c r="E212" i="8"/>
  <c r="H212" i="8"/>
  <c r="C212" i="8"/>
  <c r="F212" i="8"/>
  <c r="D212" i="8"/>
  <c r="E215" i="8"/>
  <c r="H215" i="8"/>
  <c r="C215" i="8"/>
  <c r="G215" i="8"/>
  <c r="B215" i="8"/>
  <c r="F215" i="8"/>
  <c r="D215" i="8"/>
  <c r="E223" i="8"/>
  <c r="H223" i="8"/>
  <c r="C223" i="8"/>
  <c r="G223" i="8"/>
  <c r="B223" i="8"/>
  <c r="F223" i="8"/>
  <c r="D223" i="8"/>
  <c r="E229" i="8"/>
  <c r="H229" i="8"/>
  <c r="C229" i="8"/>
  <c r="F229" i="8"/>
  <c r="D229" i="8"/>
  <c r="G229" i="8"/>
  <c r="B229" i="8"/>
  <c r="E240" i="8"/>
  <c r="G240" i="8"/>
  <c r="B240" i="8"/>
  <c r="D240" i="8"/>
  <c r="C240" i="8"/>
  <c r="H240" i="8"/>
  <c r="F240" i="8"/>
  <c r="E161" i="8"/>
  <c r="H161" i="8"/>
  <c r="C161" i="8"/>
  <c r="G161" i="8"/>
  <c r="E169" i="8"/>
  <c r="H169" i="8"/>
  <c r="C169" i="8"/>
  <c r="G169" i="8"/>
  <c r="E177" i="8"/>
  <c r="H177" i="8"/>
  <c r="C177" i="8"/>
  <c r="G177" i="8"/>
  <c r="F178" i="8"/>
  <c r="F180" i="8"/>
  <c r="E185" i="8"/>
  <c r="H185" i="8"/>
  <c r="C185" i="8"/>
  <c r="G185" i="8"/>
  <c r="F186" i="8"/>
  <c r="E189" i="8"/>
  <c r="D189" i="8"/>
  <c r="H189" i="8"/>
  <c r="C189" i="8"/>
  <c r="B212" i="8"/>
  <c r="E216" i="8"/>
  <c r="D216" i="8"/>
  <c r="H216" i="8"/>
  <c r="C216" i="8"/>
  <c r="G216" i="8"/>
  <c r="F216" i="8"/>
  <c r="E232" i="8"/>
  <c r="G232" i="8"/>
  <c r="B232" i="8"/>
  <c r="D232" i="8"/>
  <c r="C232" i="8"/>
  <c r="H232" i="8"/>
  <c r="F232" i="8"/>
  <c r="F159" i="8"/>
  <c r="F163" i="8"/>
  <c r="F167" i="8"/>
  <c r="F171" i="8"/>
  <c r="F175" i="8"/>
  <c r="F179" i="8"/>
  <c r="F183" i="8"/>
  <c r="F187" i="8"/>
  <c r="D190" i="8"/>
  <c r="F191" i="8"/>
  <c r="E200" i="8"/>
  <c r="H200" i="8"/>
  <c r="C200" i="8"/>
  <c r="G200" i="8"/>
  <c r="E208" i="8"/>
  <c r="H208" i="8"/>
  <c r="C208" i="8"/>
  <c r="G208" i="8"/>
  <c r="E220" i="8"/>
  <c r="D220" i="8"/>
  <c r="H220" i="8"/>
  <c r="C220" i="8"/>
  <c r="F224" i="8"/>
  <c r="F254" i="8"/>
  <c r="D254" i="8"/>
  <c r="F270" i="8"/>
  <c r="D270" i="8"/>
  <c r="F190" i="8"/>
  <c r="E193" i="8"/>
  <c r="D193" i="8"/>
  <c r="G193" i="8"/>
  <c r="E195" i="8"/>
  <c r="G195" i="8"/>
  <c r="B195" i="8"/>
  <c r="H195" i="8"/>
  <c r="E201" i="8"/>
  <c r="D201" i="8"/>
  <c r="G201" i="8"/>
  <c r="E203" i="8"/>
  <c r="G203" i="8"/>
  <c r="B203" i="8"/>
  <c r="H203" i="8"/>
  <c r="E209" i="8"/>
  <c r="D209" i="8"/>
  <c r="G209" i="8"/>
  <c r="E211" i="8"/>
  <c r="G211" i="8"/>
  <c r="B211" i="8"/>
  <c r="H211" i="8"/>
  <c r="E219" i="8"/>
  <c r="H219" i="8"/>
  <c r="C219" i="8"/>
  <c r="G219" i="8"/>
  <c r="B219" i="8"/>
  <c r="D249" i="8"/>
  <c r="F249" i="8"/>
  <c r="D265" i="8"/>
  <c r="F265" i="8"/>
  <c r="E224" i="8"/>
  <c r="G224" i="8"/>
  <c r="D224" i="8"/>
  <c r="C224" i="8"/>
  <c r="E230" i="8"/>
  <c r="D230" i="8"/>
  <c r="C230" i="8"/>
  <c r="H230" i="8"/>
  <c r="B230" i="8"/>
  <c r="E238" i="8"/>
  <c r="D238" i="8"/>
  <c r="C238" i="8"/>
  <c r="H238" i="8"/>
  <c r="B238" i="8"/>
  <c r="F246" i="8"/>
  <c r="D246" i="8"/>
  <c r="F262" i="8"/>
  <c r="D262" i="8"/>
  <c r="F194" i="8"/>
  <c r="F198" i="8"/>
  <c r="F202" i="8"/>
  <c r="F206" i="8"/>
  <c r="F210" i="8"/>
  <c r="F214" i="8"/>
  <c r="D217" i="8"/>
  <c r="F218" i="8"/>
  <c r="D221" i="8"/>
  <c r="F222" i="8"/>
  <c r="E225" i="8"/>
  <c r="H225" i="8"/>
  <c r="C225" i="8"/>
  <c r="G225" i="8"/>
  <c r="E233" i="8"/>
  <c r="H233" i="8"/>
  <c r="C233" i="8"/>
  <c r="G233" i="8"/>
  <c r="E241" i="8"/>
  <c r="H241" i="8"/>
  <c r="C241" i="8"/>
  <c r="G241" i="8"/>
  <c r="D278" i="8"/>
  <c r="F281" i="8"/>
  <c r="D286" i="8"/>
  <c r="F289" i="8"/>
  <c r="D294" i="8"/>
  <c r="F297" i="8"/>
  <c r="D302" i="8"/>
  <c r="F305" i="8"/>
  <c r="B314" i="8"/>
  <c r="C318" i="8"/>
  <c r="B318" i="8"/>
  <c r="G320" i="8"/>
  <c r="F217" i="8"/>
  <c r="F221" i="8"/>
  <c r="E226" i="8"/>
  <c r="D226" i="8"/>
  <c r="G226" i="8"/>
  <c r="E228" i="8"/>
  <c r="G228" i="8"/>
  <c r="B228" i="8"/>
  <c r="H228" i="8"/>
  <c r="E234" i="8"/>
  <c r="D234" i="8"/>
  <c r="G234" i="8"/>
  <c r="E236" i="8"/>
  <c r="G236" i="8"/>
  <c r="B236" i="8"/>
  <c r="H236" i="8"/>
  <c r="E242" i="8"/>
  <c r="D242" i="8"/>
  <c r="G242" i="8"/>
  <c r="C313" i="8"/>
  <c r="C314" i="8"/>
  <c r="F318" i="8"/>
  <c r="B322" i="8"/>
  <c r="E329" i="8"/>
  <c r="F330" i="8"/>
  <c r="E333" i="8"/>
  <c r="C333" i="8"/>
  <c r="E335" i="8"/>
  <c r="F335" i="8"/>
  <c r="E336" i="8"/>
  <c r="C336" i="8"/>
  <c r="E337" i="8"/>
  <c r="B337" i="8"/>
  <c r="E339" i="8"/>
  <c r="F339" i="8"/>
  <c r="E340" i="8"/>
  <c r="C340" i="8"/>
  <c r="E341" i="8"/>
  <c r="B341" i="8"/>
  <c r="E343" i="8"/>
  <c r="D343" i="8"/>
  <c r="E313" i="8"/>
  <c r="F322" i="8"/>
  <c r="F329" i="8"/>
  <c r="F331" i="8"/>
  <c r="E331" i="8"/>
  <c r="C310" i="8"/>
  <c r="F310" i="8"/>
  <c r="C334" i="8"/>
  <c r="F334" i="8"/>
  <c r="C335" i="8"/>
  <c r="F336" i="8"/>
  <c r="F337" i="8"/>
  <c r="C339" i="8"/>
  <c r="F340" i="8"/>
  <c r="F341" i="8"/>
  <c r="F227" i="8"/>
  <c r="F231" i="8"/>
  <c r="F235" i="8"/>
  <c r="F239" i="8"/>
  <c r="F243" i="8"/>
  <c r="G338" i="8"/>
  <c r="G342" i="8"/>
  <c r="H5" i="7"/>
  <c r="D5" i="7"/>
  <c r="E5" i="7"/>
  <c r="G5" i="7"/>
  <c r="F7" i="7"/>
  <c r="B7" i="7"/>
  <c r="H7" i="7"/>
  <c r="C7" i="7"/>
  <c r="I7" i="7"/>
  <c r="F15" i="7"/>
  <c r="B15" i="7"/>
  <c r="H15" i="7"/>
  <c r="C15" i="7"/>
  <c r="I15" i="7"/>
  <c r="H17" i="7"/>
  <c r="D17" i="7"/>
  <c r="G17" i="7"/>
  <c r="B17" i="7"/>
  <c r="I17" i="7"/>
  <c r="F19" i="7"/>
  <c r="B19" i="7"/>
  <c r="E19" i="7"/>
  <c r="H19" i="7"/>
  <c r="F35" i="7"/>
  <c r="B35" i="7"/>
  <c r="E35" i="7"/>
  <c r="I35" i="7"/>
  <c r="D35" i="7"/>
  <c r="G36" i="7"/>
  <c r="C36" i="7"/>
  <c r="E36" i="7"/>
  <c r="I36" i="7"/>
  <c r="D36" i="7"/>
  <c r="H37" i="7"/>
  <c r="D37" i="7"/>
  <c r="E37" i="7"/>
  <c r="I37" i="7"/>
  <c r="C37" i="7"/>
  <c r="F51" i="7"/>
  <c r="B51" i="7"/>
  <c r="E51" i="7"/>
  <c r="I51" i="7"/>
  <c r="D51" i="7"/>
  <c r="G52" i="7"/>
  <c r="C52" i="7"/>
  <c r="E52" i="7"/>
  <c r="I52" i="7"/>
  <c r="D52" i="7"/>
  <c r="H53" i="7"/>
  <c r="D53" i="7"/>
  <c r="E53" i="7"/>
  <c r="I53" i="7"/>
  <c r="C53" i="7"/>
  <c r="F99" i="7"/>
  <c r="B99" i="7"/>
  <c r="E99" i="7"/>
  <c r="I99" i="7"/>
  <c r="D99" i="7"/>
  <c r="G100" i="7"/>
  <c r="C100" i="7"/>
  <c r="E100" i="7"/>
  <c r="I100" i="7"/>
  <c r="D100" i="7"/>
  <c r="H101" i="7"/>
  <c r="D101" i="7"/>
  <c r="E101" i="7"/>
  <c r="I101" i="7"/>
  <c r="C101" i="7"/>
  <c r="F115" i="7"/>
  <c r="B115" i="7"/>
  <c r="E115" i="7"/>
  <c r="I115" i="7"/>
  <c r="D115" i="7"/>
  <c r="G116" i="7"/>
  <c r="C116" i="7"/>
  <c r="E116" i="7"/>
  <c r="I116" i="7"/>
  <c r="D116" i="7"/>
  <c r="H117" i="7"/>
  <c r="D117" i="7"/>
  <c r="E117" i="7"/>
  <c r="I117" i="7"/>
  <c r="C117" i="7"/>
  <c r="F131" i="7"/>
  <c r="B131" i="7"/>
  <c r="E131" i="7"/>
  <c r="I131" i="7"/>
  <c r="D131" i="7"/>
  <c r="G132" i="7"/>
  <c r="C132" i="7"/>
  <c r="E132" i="7"/>
  <c r="I132" i="7"/>
  <c r="D132" i="7"/>
  <c r="H133" i="7"/>
  <c r="D133" i="7"/>
  <c r="E133" i="7"/>
  <c r="I133" i="7"/>
  <c r="C133" i="7"/>
  <c r="G140" i="7"/>
  <c r="C140" i="7"/>
  <c r="E140" i="7"/>
  <c r="I140" i="7"/>
  <c r="D140" i="7"/>
  <c r="H140" i="7"/>
  <c r="B140" i="7"/>
  <c r="G148" i="7"/>
  <c r="C148" i="7"/>
  <c r="E148" i="7"/>
  <c r="I148" i="7"/>
  <c r="D148" i="7"/>
  <c r="H148" i="7"/>
  <c r="B148" i="7"/>
  <c r="C3" i="7"/>
  <c r="B5" i="7"/>
  <c r="I5" i="7"/>
  <c r="D7" i="7"/>
  <c r="C9" i="7"/>
  <c r="C11" i="7"/>
  <c r="B13" i="7"/>
  <c r="D15" i="7"/>
  <c r="C17" i="7"/>
  <c r="C19" i="7"/>
  <c r="I19" i="7"/>
  <c r="C35" i="7"/>
  <c r="B36" i="7"/>
  <c r="B37" i="7"/>
  <c r="C51" i="7"/>
  <c r="B52" i="7"/>
  <c r="B53" i="7"/>
  <c r="C67" i="7"/>
  <c r="B68" i="7"/>
  <c r="B69" i="7"/>
  <c r="C99" i="7"/>
  <c r="B100" i="7"/>
  <c r="B101" i="7"/>
  <c r="C115" i="7"/>
  <c r="B116" i="7"/>
  <c r="B117" i="7"/>
  <c r="C131" i="7"/>
  <c r="B132" i="7"/>
  <c r="B133" i="7"/>
  <c r="F140" i="7"/>
  <c r="F148" i="7"/>
  <c r="G152" i="7"/>
  <c r="C152" i="7"/>
  <c r="F152" i="7"/>
  <c r="B152" i="7"/>
  <c r="H152" i="7"/>
  <c r="E152" i="7"/>
  <c r="D152" i="7"/>
  <c r="G168" i="7"/>
  <c r="C168" i="7"/>
  <c r="F168" i="7"/>
  <c r="B168" i="7"/>
  <c r="H168" i="7"/>
  <c r="E168" i="7"/>
  <c r="D168" i="7"/>
  <c r="H9" i="7"/>
  <c r="D9" i="7"/>
  <c r="G9" i="7"/>
  <c r="B9" i="7"/>
  <c r="I9" i="7"/>
  <c r="H13" i="7"/>
  <c r="D13" i="7"/>
  <c r="E13" i="7"/>
  <c r="G13" i="7"/>
  <c r="H21" i="7"/>
  <c r="D21" i="7"/>
  <c r="E21" i="7"/>
  <c r="I21" i="7"/>
  <c r="C21" i="7"/>
  <c r="F83" i="7"/>
  <c r="B83" i="7"/>
  <c r="E83" i="7"/>
  <c r="I83" i="7"/>
  <c r="D83" i="7"/>
  <c r="G84" i="7"/>
  <c r="C84" i="7"/>
  <c r="E84" i="7"/>
  <c r="I84" i="7"/>
  <c r="D84" i="7"/>
  <c r="H85" i="7"/>
  <c r="D85" i="7"/>
  <c r="E85" i="7"/>
  <c r="I85" i="7"/>
  <c r="C85" i="7"/>
  <c r="G35" i="7"/>
  <c r="F36" i="7"/>
  <c r="F37" i="7"/>
  <c r="F43" i="7"/>
  <c r="B43" i="7"/>
  <c r="E43" i="7"/>
  <c r="I43" i="7"/>
  <c r="D43" i="7"/>
  <c r="G44" i="7"/>
  <c r="C44" i="7"/>
  <c r="E44" i="7"/>
  <c r="I44" i="7"/>
  <c r="D44" i="7"/>
  <c r="H45" i="7"/>
  <c r="D45" i="7"/>
  <c r="E45" i="7"/>
  <c r="I45" i="7"/>
  <c r="C45" i="7"/>
  <c r="G51" i="7"/>
  <c r="F52" i="7"/>
  <c r="F53" i="7"/>
  <c r="F59" i="7"/>
  <c r="B59" i="7"/>
  <c r="E59" i="7"/>
  <c r="I59" i="7"/>
  <c r="D59" i="7"/>
  <c r="G60" i="7"/>
  <c r="C60" i="7"/>
  <c r="E60" i="7"/>
  <c r="I60" i="7"/>
  <c r="D60" i="7"/>
  <c r="H61" i="7"/>
  <c r="D61" i="7"/>
  <c r="E61" i="7"/>
  <c r="I61" i="7"/>
  <c r="C61" i="7"/>
  <c r="F75" i="7"/>
  <c r="B75" i="7"/>
  <c r="E75" i="7"/>
  <c r="I75" i="7"/>
  <c r="D75" i="7"/>
  <c r="G76" i="7"/>
  <c r="C76" i="7"/>
  <c r="E76" i="7"/>
  <c r="I76" i="7"/>
  <c r="D76" i="7"/>
  <c r="H77" i="7"/>
  <c r="D77" i="7"/>
  <c r="E77" i="7"/>
  <c r="I77" i="7"/>
  <c r="C77" i="7"/>
  <c r="G83" i="7"/>
  <c r="F84" i="7"/>
  <c r="F85" i="7"/>
  <c r="F91" i="7"/>
  <c r="B91" i="7"/>
  <c r="E91" i="7"/>
  <c r="I91" i="7"/>
  <c r="D91" i="7"/>
  <c r="G92" i="7"/>
  <c r="C92" i="7"/>
  <c r="E92" i="7"/>
  <c r="D92" i="7"/>
  <c r="I92" i="7"/>
  <c r="H93" i="7"/>
  <c r="D93" i="7"/>
  <c r="E93" i="7"/>
  <c r="I93" i="7"/>
  <c r="C93" i="7"/>
  <c r="G99" i="7"/>
  <c r="F100" i="7"/>
  <c r="F101" i="7"/>
  <c r="F107" i="7"/>
  <c r="B107" i="7"/>
  <c r="E107" i="7"/>
  <c r="I107" i="7"/>
  <c r="D107" i="7"/>
  <c r="G108" i="7"/>
  <c r="C108" i="7"/>
  <c r="E108" i="7"/>
  <c r="I108" i="7"/>
  <c r="D108" i="7"/>
  <c r="H109" i="7"/>
  <c r="D109" i="7"/>
  <c r="E109" i="7"/>
  <c r="I109" i="7"/>
  <c r="C109" i="7"/>
  <c r="G115" i="7"/>
  <c r="F116" i="7"/>
  <c r="F117" i="7"/>
  <c r="F123" i="7"/>
  <c r="B123" i="7"/>
  <c r="E123" i="7"/>
  <c r="I123" i="7"/>
  <c r="D123" i="7"/>
  <c r="G124" i="7"/>
  <c r="C124" i="7"/>
  <c r="E124" i="7"/>
  <c r="I124" i="7"/>
  <c r="D124" i="7"/>
  <c r="H125" i="7"/>
  <c r="D125" i="7"/>
  <c r="E125" i="7"/>
  <c r="I125" i="7"/>
  <c r="C125" i="7"/>
  <c r="G131" i="7"/>
  <c r="F132" i="7"/>
  <c r="F133" i="7"/>
  <c r="F139" i="7"/>
  <c r="B139" i="7"/>
  <c r="E139" i="7"/>
  <c r="I139" i="7"/>
  <c r="D139" i="7"/>
  <c r="H139" i="7"/>
  <c r="C139" i="7"/>
  <c r="H141" i="7"/>
  <c r="D141" i="7"/>
  <c r="E141" i="7"/>
  <c r="I141" i="7"/>
  <c r="C141" i="7"/>
  <c r="G141" i="7"/>
  <c r="B141" i="7"/>
  <c r="F147" i="7"/>
  <c r="B147" i="7"/>
  <c r="E147" i="7"/>
  <c r="I147" i="7"/>
  <c r="D147" i="7"/>
  <c r="H147" i="7"/>
  <c r="C147" i="7"/>
  <c r="H149" i="7"/>
  <c r="D149" i="7"/>
  <c r="E149" i="7"/>
  <c r="I149" i="7"/>
  <c r="C149" i="7"/>
  <c r="G149" i="7"/>
  <c r="B149" i="7"/>
  <c r="G3" i="9"/>
  <c r="F3" i="7"/>
  <c r="B3" i="7"/>
  <c r="E3" i="7"/>
  <c r="H3" i="7"/>
  <c r="F11" i="7"/>
  <c r="B11" i="7"/>
  <c r="E11" i="7"/>
  <c r="H11" i="7"/>
  <c r="F67" i="7"/>
  <c r="B67" i="7"/>
  <c r="E67" i="7"/>
  <c r="I67" i="7"/>
  <c r="D67" i="7"/>
  <c r="G68" i="7"/>
  <c r="C68" i="7"/>
  <c r="E68" i="7"/>
  <c r="I68" i="7"/>
  <c r="D68" i="7"/>
  <c r="H69" i="7"/>
  <c r="D69" i="7"/>
  <c r="E69" i="7"/>
  <c r="I69" i="7"/>
  <c r="C69" i="7"/>
  <c r="D3" i="7"/>
  <c r="G4" i="7"/>
  <c r="C4" i="7"/>
  <c r="E4" i="7"/>
  <c r="H4" i="7"/>
  <c r="C5" i="7"/>
  <c r="E7" i="7"/>
  <c r="G8" i="7"/>
  <c r="C8" i="7"/>
  <c r="H8" i="7"/>
  <c r="B8" i="7"/>
  <c r="I8" i="7"/>
  <c r="E9" i="7"/>
  <c r="D11" i="7"/>
  <c r="G12" i="7"/>
  <c r="C12" i="7"/>
  <c r="E12" i="7"/>
  <c r="H12" i="7"/>
  <c r="C13" i="7"/>
  <c r="E15" i="7"/>
  <c r="G16" i="7"/>
  <c r="C16" i="7"/>
  <c r="H16" i="7"/>
  <c r="B16" i="7"/>
  <c r="I16" i="7"/>
  <c r="E17" i="7"/>
  <c r="D19" i="7"/>
  <c r="G20" i="7"/>
  <c r="C20" i="7"/>
  <c r="E20" i="7"/>
  <c r="H20" i="7"/>
  <c r="F21" i="7"/>
  <c r="F27" i="7"/>
  <c r="B27" i="7"/>
  <c r="E27" i="7"/>
  <c r="I27" i="7"/>
  <c r="D27" i="7"/>
  <c r="G28" i="7"/>
  <c r="C28" i="7"/>
  <c r="E28" i="7"/>
  <c r="I28" i="7"/>
  <c r="D28" i="7"/>
  <c r="H29" i="7"/>
  <c r="D29" i="7"/>
  <c r="E29" i="7"/>
  <c r="I29" i="7"/>
  <c r="C29" i="7"/>
  <c r="G3" i="7"/>
  <c r="B4" i="7"/>
  <c r="I4" i="7"/>
  <c r="F5" i="7"/>
  <c r="G7" i="7"/>
  <c r="D8" i="7"/>
  <c r="F9" i="7"/>
  <c r="G11" i="7"/>
  <c r="B12" i="7"/>
  <c r="I12" i="7"/>
  <c r="F13" i="7"/>
  <c r="G15" i="7"/>
  <c r="D16" i="7"/>
  <c r="F17" i="7"/>
  <c r="G19" i="7"/>
  <c r="B20" i="7"/>
  <c r="I20" i="7"/>
  <c r="G21" i="7"/>
  <c r="C27" i="7"/>
  <c r="B28" i="7"/>
  <c r="B29" i="7"/>
  <c r="H35" i="7"/>
  <c r="H36" i="7"/>
  <c r="G37" i="7"/>
  <c r="C43" i="7"/>
  <c r="B44" i="7"/>
  <c r="B45" i="7"/>
  <c r="H51" i="7"/>
  <c r="H52" i="7"/>
  <c r="G53" i="7"/>
  <c r="C59" i="7"/>
  <c r="B60" i="7"/>
  <c r="B61" i="7"/>
  <c r="H67" i="7"/>
  <c r="H68" i="7"/>
  <c r="G69" i="7"/>
  <c r="C75" i="7"/>
  <c r="B76" i="7"/>
  <c r="B77" i="7"/>
  <c r="H83" i="7"/>
  <c r="H84" i="7"/>
  <c r="G85" i="7"/>
  <c r="C91" i="7"/>
  <c r="B92" i="7"/>
  <c r="B93" i="7"/>
  <c r="H99" i="7"/>
  <c r="H100" i="7"/>
  <c r="G101" i="7"/>
  <c r="C107" i="7"/>
  <c r="B108" i="7"/>
  <c r="B109" i="7"/>
  <c r="H115" i="7"/>
  <c r="H116" i="7"/>
  <c r="G117" i="7"/>
  <c r="C123" i="7"/>
  <c r="B124" i="7"/>
  <c r="B125" i="7"/>
  <c r="H131" i="7"/>
  <c r="H132" i="7"/>
  <c r="G133" i="7"/>
  <c r="G147" i="7"/>
  <c r="F149" i="7"/>
  <c r="G160" i="7"/>
  <c r="C160" i="7"/>
  <c r="F160" i="7"/>
  <c r="B160" i="7"/>
  <c r="H160" i="7"/>
  <c r="E160" i="7"/>
  <c r="D160" i="7"/>
  <c r="G176" i="7"/>
  <c r="C176" i="7"/>
  <c r="F176" i="7"/>
  <c r="B176" i="7"/>
  <c r="H176" i="7"/>
  <c r="E176" i="7"/>
  <c r="D176" i="7"/>
  <c r="H153" i="7"/>
  <c r="D153" i="7"/>
  <c r="G153" i="7"/>
  <c r="C153" i="7"/>
  <c r="I153" i="7"/>
  <c r="H161" i="7"/>
  <c r="D161" i="7"/>
  <c r="G161" i="7"/>
  <c r="C161" i="7"/>
  <c r="I161" i="7"/>
  <c r="H169" i="7"/>
  <c r="D169" i="7"/>
  <c r="G169" i="7"/>
  <c r="C169" i="7"/>
  <c r="I169" i="7"/>
  <c r="H177" i="7"/>
  <c r="D177" i="7"/>
  <c r="G177" i="7"/>
  <c r="C177" i="7"/>
  <c r="I177" i="7"/>
  <c r="D184" i="7"/>
  <c r="H185" i="7"/>
  <c r="D185" i="7"/>
  <c r="G185" i="7"/>
  <c r="C185" i="7"/>
  <c r="I185" i="7"/>
  <c r="F194" i="7"/>
  <c r="B194" i="7"/>
  <c r="E194" i="7"/>
  <c r="I194" i="7"/>
  <c r="D194" i="7"/>
  <c r="G195" i="7"/>
  <c r="C195" i="7"/>
  <c r="E195" i="7"/>
  <c r="I195" i="7"/>
  <c r="D195" i="7"/>
  <c r="H196" i="7"/>
  <c r="D196" i="7"/>
  <c r="E196" i="7"/>
  <c r="I196" i="7"/>
  <c r="C196" i="7"/>
  <c r="F210" i="7"/>
  <c r="B210" i="7"/>
  <c r="E210" i="7"/>
  <c r="I210" i="7"/>
  <c r="D210" i="7"/>
  <c r="G211" i="7"/>
  <c r="C211" i="7"/>
  <c r="E211" i="7"/>
  <c r="I211" i="7"/>
  <c r="D211" i="7"/>
  <c r="H212" i="7"/>
  <c r="D212" i="7"/>
  <c r="E212" i="7"/>
  <c r="I212" i="7"/>
  <c r="C212" i="7"/>
  <c r="F226" i="7"/>
  <c r="B226" i="7"/>
  <c r="E226" i="7"/>
  <c r="I226" i="7"/>
  <c r="D226" i="7"/>
  <c r="G227" i="7"/>
  <c r="C227" i="7"/>
  <c r="E227" i="7"/>
  <c r="I227" i="7"/>
  <c r="D227" i="7"/>
  <c r="H228" i="7"/>
  <c r="D228" i="7"/>
  <c r="E228" i="7"/>
  <c r="I228" i="7"/>
  <c r="C228" i="7"/>
  <c r="F242" i="7"/>
  <c r="B242" i="7"/>
  <c r="E242" i="7"/>
  <c r="I242" i="7"/>
  <c r="D242" i="7"/>
  <c r="G243" i="7"/>
  <c r="C243" i="7"/>
  <c r="E243" i="7"/>
  <c r="I243" i="7"/>
  <c r="D243" i="7"/>
  <c r="H244" i="7"/>
  <c r="D244" i="7"/>
  <c r="E244" i="7"/>
  <c r="I244" i="7"/>
  <c r="C244" i="7"/>
  <c r="C258" i="7"/>
  <c r="B259" i="7"/>
  <c r="B260" i="7"/>
  <c r="C274" i="7"/>
  <c r="B275" i="7"/>
  <c r="B276" i="7"/>
  <c r="C290" i="7"/>
  <c r="G292" i="7"/>
  <c r="C292" i="7"/>
  <c r="E292" i="7"/>
  <c r="D292" i="7"/>
  <c r="I292" i="7"/>
  <c r="B292" i="7"/>
  <c r="F296" i="7"/>
  <c r="G308" i="7"/>
  <c r="C308" i="7"/>
  <c r="E308" i="7"/>
  <c r="D308" i="7"/>
  <c r="I308" i="7"/>
  <c r="B308" i="7"/>
  <c r="F308" i="7"/>
  <c r="G316" i="7"/>
  <c r="C316" i="7"/>
  <c r="E316" i="7"/>
  <c r="D316" i="7"/>
  <c r="I316" i="7"/>
  <c r="B316" i="7"/>
  <c r="F316" i="7"/>
  <c r="G324" i="7"/>
  <c r="C324" i="7"/>
  <c r="E324" i="7"/>
  <c r="D324" i="7"/>
  <c r="I324" i="7"/>
  <c r="B324" i="7"/>
  <c r="F324" i="7"/>
  <c r="G48" i="7"/>
  <c r="C48" i="7"/>
  <c r="H49" i="7"/>
  <c r="D49" i="7"/>
  <c r="F49" i="7"/>
  <c r="F55" i="7"/>
  <c r="B55" i="7"/>
  <c r="G56" i="7"/>
  <c r="C56" i="7"/>
  <c r="F56" i="7"/>
  <c r="H57" i="7"/>
  <c r="D57" i="7"/>
  <c r="F57" i="7"/>
  <c r="F63" i="7"/>
  <c r="B63" i="7"/>
  <c r="G63" i="7"/>
  <c r="F79" i="7"/>
  <c r="B79" i="7"/>
  <c r="G79" i="7"/>
  <c r="H81" i="7"/>
  <c r="D81" i="7"/>
  <c r="F81" i="7"/>
  <c r="F87" i="7"/>
  <c r="B87" i="7"/>
  <c r="G87" i="7"/>
  <c r="G88" i="7"/>
  <c r="C88" i="7"/>
  <c r="F88" i="7"/>
  <c r="H89" i="7"/>
  <c r="D89" i="7"/>
  <c r="F89" i="7"/>
  <c r="F95" i="7"/>
  <c r="B95" i="7"/>
  <c r="G95" i="7"/>
  <c r="G96" i="7"/>
  <c r="C96" i="7"/>
  <c r="F96" i="7"/>
  <c r="H97" i="7"/>
  <c r="D97" i="7"/>
  <c r="F97" i="7"/>
  <c r="F103" i="7"/>
  <c r="B103" i="7"/>
  <c r="G103" i="7"/>
  <c r="G104" i="7"/>
  <c r="C104" i="7"/>
  <c r="F104" i="7"/>
  <c r="H105" i="7"/>
  <c r="D105" i="7"/>
  <c r="F105" i="7"/>
  <c r="F111" i="7"/>
  <c r="B111" i="7"/>
  <c r="G111" i="7"/>
  <c r="G112" i="7"/>
  <c r="C112" i="7"/>
  <c r="F112" i="7"/>
  <c r="H113" i="7"/>
  <c r="D113" i="7"/>
  <c r="F113" i="7"/>
  <c r="F119" i="7"/>
  <c r="B119" i="7"/>
  <c r="G119" i="7"/>
  <c r="G120" i="7"/>
  <c r="C120" i="7"/>
  <c r="F120" i="7"/>
  <c r="H121" i="7"/>
  <c r="D121" i="7"/>
  <c r="F121" i="7"/>
  <c r="F127" i="7"/>
  <c r="B127" i="7"/>
  <c r="G127" i="7"/>
  <c r="G128" i="7"/>
  <c r="C128" i="7"/>
  <c r="F128" i="7"/>
  <c r="H129" i="7"/>
  <c r="D129" i="7"/>
  <c r="F129" i="7"/>
  <c r="F135" i="7"/>
  <c r="B135" i="7"/>
  <c r="G135" i="7"/>
  <c r="G136" i="7"/>
  <c r="C136" i="7"/>
  <c r="F136" i="7"/>
  <c r="H137" i="7"/>
  <c r="D137" i="7"/>
  <c r="F137" i="7"/>
  <c r="F143" i="7"/>
  <c r="B143" i="7"/>
  <c r="G143" i="7"/>
  <c r="G144" i="7"/>
  <c r="C144" i="7"/>
  <c r="F144" i="7"/>
  <c r="H145" i="7"/>
  <c r="D145" i="7"/>
  <c r="F145" i="7"/>
  <c r="F151" i="7"/>
  <c r="B151" i="7"/>
  <c r="I151" i="7"/>
  <c r="E151" i="7"/>
  <c r="H151" i="7"/>
  <c r="B153" i="7"/>
  <c r="G156" i="7"/>
  <c r="C156" i="7"/>
  <c r="F156" i="7"/>
  <c r="B156" i="7"/>
  <c r="I156" i="7"/>
  <c r="B161" i="7"/>
  <c r="G164" i="7"/>
  <c r="C164" i="7"/>
  <c r="F164" i="7"/>
  <c r="B164" i="7"/>
  <c r="I164" i="7"/>
  <c r="B169" i="7"/>
  <c r="G172" i="7"/>
  <c r="C172" i="7"/>
  <c r="F172" i="7"/>
  <c r="B172" i="7"/>
  <c r="I172" i="7"/>
  <c r="B177" i="7"/>
  <c r="G180" i="7"/>
  <c r="C180" i="7"/>
  <c r="F180" i="7"/>
  <c r="B180" i="7"/>
  <c r="I180" i="7"/>
  <c r="E184" i="7"/>
  <c r="B185" i="7"/>
  <c r="G188" i="7"/>
  <c r="C188" i="7"/>
  <c r="F188" i="7"/>
  <c r="B188" i="7"/>
  <c r="I188" i="7"/>
  <c r="C194" i="7"/>
  <c r="B195" i="7"/>
  <c r="B196" i="7"/>
  <c r="C210" i="7"/>
  <c r="B211" i="7"/>
  <c r="B212" i="7"/>
  <c r="C226" i="7"/>
  <c r="B227" i="7"/>
  <c r="B228" i="7"/>
  <c r="C242" i="7"/>
  <c r="B243" i="7"/>
  <c r="B244" i="7"/>
  <c r="G258" i="7"/>
  <c r="F259" i="7"/>
  <c r="F260" i="7"/>
  <c r="F266" i="7"/>
  <c r="B266" i="7"/>
  <c r="E266" i="7"/>
  <c r="I266" i="7"/>
  <c r="D266" i="7"/>
  <c r="G267" i="7"/>
  <c r="C267" i="7"/>
  <c r="E267" i="7"/>
  <c r="I267" i="7"/>
  <c r="D267" i="7"/>
  <c r="H268" i="7"/>
  <c r="D268" i="7"/>
  <c r="E268" i="7"/>
  <c r="I268" i="7"/>
  <c r="C268" i="7"/>
  <c r="G274" i="7"/>
  <c r="F275" i="7"/>
  <c r="F276" i="7"/>
  <c r="F282" i="7"/>
  <c r="B282" i="7"/>
  <c r="E282" i="7"/>
  <c r="I282" i="7"/>
  <c r="D282" i="7"/>
  <c r="G283" i="7"/>
  <c r="C283" i="7"/>
  <c r="E283" i="7"/>
  <c r="I283" i="7"/>
  <c r="D283" i="7"/>
  <c r="H284" i="7"/>
  <c r="D284" i="7"/>
  <c r="E284" i="7"/>
  <c r="I284" i="7"/>
  <c r="C284" i="7"/>
  <c r="G290" i="7"/>
  <c r="F292" i="7"/>
  <c r="G304" i="7"/>
  <c r="C304" i="7"/>
  <c r="H304" i="7"/>
  <c r="B304" i="7"/>
  <c r="E304" i="7"/>
  <c r="D304" i="7"/>
  <c r="H308" i="7"/>
  <c r="H316" i="7"/>
  <c r="H324" i="7"/>
  <c r="F23" i="7"/>
  <c r="B23" i="7"/>
  <c r="G23" i="7"/>
  <c r="G24" i="7"/>
  <c r="C24" i="7"/>
  <c r="F24" i="7"/>
  <c r="H25" i="7"/>
  <c r="D25" i="7"/>
  <c r="F25" i="7"/>
  <c r="F31" i="7"/>
  <c r="B31" i="7"/>
  <c r="G31" i="7"/>
  <c r="G32" i="7"/>
  <c r="C32" i="7"/>
  <c r="F32" i="7"/>
  <c r="H33" i="7"/>
  <c r="D33" i="7"/>
  <c r="F33" i="7"/>
  <c r="F39" i="7"/>
  <c r="B39" i="7"/>
  <c r="G40" i="7"/>
  <c r="C40" i="7"/>
  <c r="F40" i="7"/>
  <c r="H41" i="7"/>
  <c r="D41" i="7"/>
  <c r="F41" i="7"/>
  <c r="F47" i="7"/>
  <c r="B47" i="7"/>
  <c r="G47" i="7"/>
  <c r="F48" i="7"/>
  <c r="G55" i="7"/>
  <c r="G64" i="7"/>
  <c r="C64" i="7"/>
  <c r="H65" i="7"/>
  <c r="D65" i="7"/>
  <c r="F65" i="7"/>
  <c r="F71" i="7"/>
  <c r="B71" i="7"/>
  <c r="G71" i="7"/>
  <c r="G72" i="7"/>
  <c r="C72" i="7"/>
  <c r="F72" i="7"/>
  <c r="H73" i="7"/>
  <c r="D73" i="7"/>
  <c r="F73" i="7"/>
  <c r="G80" i="7"/>
  <c r="C80" i="7"/>
  <c r="F80" i="7"/>
  <c r="C23" i="7"/>
  <c r="H23" i="7"/>
  <c r="B24" i="7"/>
  <c r="H24" i="7"/>
  <c r="B25" i="7"/>
  <c r="G25" i="7"/>
  <c r="C31" i="7"/>
  <c r="H31" i="7"/>
  <c r="B32" i="7"/>
  <c r="H32" i="7"/>
  <c r="B33" i="7"/>
  <c r="G33" i="7"/>
  <c r="C39" i="7"/>
  <c r="H39" i="7"/>
  <c r="B40" i="7"/>
  <c r="H40" i="7"/>
  <c r="B41" i="7"/>
  <c r="G41" i="7"/>
  <c r="C47" i="7"/>
  <c r="H47" i="7"/>
  <c r="B48" i="7"/>
  <c r="H48" i="7"/>
  <c r="B49" i="7"/>
  <c r="G49" i="7"/>
  <c r="C55" i="7"/>
  <c r="H55" i="7"/>
  <c r="B56" i="7"/>
  <c r="H56" i="7"/>
  <c r="B57" i="7"/>
  <c r="G57" i="7"/>
  <c r="C63" i="7"/>
  <c r="H63" i="7"/>
  <c r="B64" i="7"/>
  <c r="H64" i="7"/>
  <c r="B65" i="7"/>
  <c r="G65" i="7"/>
  <c r="C71" i="7"/>
  <c r="H71" i="7"/>
  <c r="B72" i="7"/>
  <c r="H72" i="7"/>
  <c r="B73" i="7"/>
  <c r="G73" i="7"/>
  <c r="C79" i="7"/>
  <c r="H79" i="7"/>
  <c r="B80" i="7"/>
  <c r="H80" i="7"/>
  <c r="B81" i="7"/>
  <c r="G81" i="7"/>
  <c r="C87" i="7"/>
  <c r="H87" i="7"/>
  <c r="B88" i="7"/>
  <c r="H88" i="7"/>
  <c r="B89" i="7"/>
  <c r="G89" i="7"/>
  <c r="C95" i="7"/>
  <c r="H95" i="7"/>
  <c r="B96" i="7"/>
  <c r="H96" i="7"/>
  <c r="B97" i="7"/>
  <c r="G97" i="7"/>
  <c r="C103" i="7"/>
  <c r="H103" i="7"/>
  <c r="B104" i="7"/>
  <c r="H104" i="7"/>
  <c r="B105" i="7"/>
  <c r="G105" i="7"/>
  <c r="C111" i="7"/>
  <c r="H111" i="7"/>
  <c r="B112" i="7"/>
  <c r="H112" i="7"/>
  <c r="B113" i="7"/>
  <c r="G113" i="7"/>
  <c r="C119" i="7"/>
  <c r="H119" i="7"/>
  <c r="B120" i="7"/>
  <c r="H120" i="7"/>
  <c r="B121" i="7"/>
  <c r="G121" i="7"/>
  <c r="C127" i="7"/>
  <c r="H127" i="7"/>
  <c r="B128" i="7"/>
  <c r="H128" i="7"/>
  <c r="B129" i="7"/>
  <c r="G129" i="7"/>
  <c r="C135" i="7"/>
  <c r="H135" i="7"/>
  <c r="B136" i="7"/>
  <c r="H136" i="7"/>
  <c r="B137" i="7"/>
  <c r="G137" i="7"/>
  <c r="C143" i="7"/>
  <c r="H143" i="7"/>
  <c r="B144" i="7"/>
  <c r="H144" i="7"/>
  <c r="B145" i="7"/>
  <c r="G145" i="7"/>
  <c r="C151" i="7"/>
  <c r="E153" i="7"/>
  <c r="D156" i="7"/>
  <c r="H157" i="7"/>
  <c r="D157" i="7"/>
  <c r="G157" i="7"/>
  <c r="C157" i="7"/>
  <c r="I157" i="7"/>
  <c r="E161" i="7"/>
  <c r="D164" i="7"/>
  <c r="H165" i="7"/>
  <c r="D165" i="7"/>
  <c r="G165" i="7"/>
  <c r="C165" i="7"/>
  <c r="I165" i="7"/>
  <c r="E169" i="7"/>
  <c r="D172" i="7"/>
  <c r="H173" i="7"/>
  <c r="D173" i="7"/>
  <c r="G173" i="7"/>
  <c r="C173" i="7"/>
  <c r="I173" i="7"/>
  <c r="E177" i="7"/>
  <c r="D180" i="7"/>
  <c r="H181" i="7"/>
  <c r="D181" i="7"/>
  <c r="G181" i="7"/>
  <c r="C181" i="7"/>
  <c r="I181" i="7"/>
  <c r="E185" i="7"/>
  <c r="D188" i="7"/>
  <c r="H189" i="7"/>
  <c r="D189" i="7"/>
  <c r="G189" i="7"/>
  <c r="C189" i="7"/>
  <c r="I189" i="7"/>
  <c r="G194" i="7"/>
  <c r="F195" i="7"/>
  <c r="F196" i="7"/>
  <c r="F202" i="7"/>
  <c r="B202" i="7"/>
  <c r="E202" i="7"/>
  <c r="I202" i="7"/>
  <c r="D202" i="7"/>
  <c r="G203" i="7"/>
  <c r="C203" i="7"/>
  <c r="E203" i="7"/>
  <c r="I203" i="7"/>
  <c r="D203" i="7"/>
  <c r="H204" i="7"/>
  <c r="D204" i="7"/>
  <c r="E204" i="7"/>
  <c r="I204" i="7"/>
  <c r="C204" i="7"/>
  <c r="G210" i="7"/>
  <c r="F211" i="7"/>
  <c r="F212" i="7"/>
  <c r="F218" i="7"/>
  <c r="B218" i="7"/>
  <c r="E218" i="7"/>
  <c r="I218" i="7"/>
  <c r="D218" i="7"/>
  <c r="G219" i="7"/>
  <c r="C219" i="7"/>
  <c r="E219" i="7"/>
  <c r="I219" i="7"/>
  <c r="D219" i="7"/>
  <c r="H220" i="7"/>
  <c r="D220" i="7"/>
  <c r="E220" i="7"/>
  <c r="I220" i="7"/>
  <c r="C220" i="7"/>
  <c r="G226" i="7"/>
  <c r="F227" i="7"/>
  <c r="F228" i="7"/>
  <c r="F234" i="7"/>
  <c r="B234" i="7"/>
  <c r="E234" i="7"/>
  <c r="I234" i="7"/>
  <c r="D234" i="7"/>
  <c r="G235" i="7"/>
  <c r="C235" i="7"/>
  <c r="E235" i="7"/>
  <c r="I235" i="7"/>
  <c r="D235" i="7"/>
  <c r="H236" i="7"/>
  <c r="D236" i="7"/>
  <c r="E236" i="7"/>
  <c r="I236" i="7"/>
  <c r="C236" i="7"/>
  <c r="G242" i="7"/>
  <c r="F243" i="7"/>
  <c r="F244" i="7"/>
  <c r="F250" i="7"/>
  <c r="B250" i="7"/>
  <c r="E250" i="7"/>
  <c r="I250" i="7"/>
  <c r="D250" i="7"/>
  <c r="G251" i="7"/>
  <c r="C251" i="7"/>
  <c r="E251" i="7"/>
  <c r="I251" i="7"/>
  <c r="D251" i="7"/>
  <c r="H252" i="7"/>
  <c r="D252" i="7"/>
  <c r="E252" i="7"/>
  <c r="I252" i="7"/>
  <c r="C252" i="7"/>
  <c r="C266" i="7"/>
  <c r="B267" i="7"/>
  <c r="B268" i="7"/>
  <c r="C282" i="7"/>
  <c r="B283" i="7"/>
  <c r="B284" i="7"/>
  <c r="H292" i="7"/>
  <c r="G300" i="7"/>
  <c r="C300" i="7"/>
  <c r="E300" i="7"/>
  <c r="D300" i="7"/>
  <c r="I300" i="7"/>
  <c r="B300" i="7"/>
  <c r="F304" i="7"/>
  <c r="G312" i="7"/>
  <c r="C312" i="7"/>
  <c r="H312" i="7"/>
  <c r="B312" i="7"/>
  <c r="E312" i="7"/>
  <c r="D312" i="7"/>
  <c r="F312" i="7"/>
  <c r="G320" i="7"/>
  <c r="C320" i="7"/>
  <c r="H320" i="7"/>
  <c r="B320" i="7"/>
  <c r="E320" i="7"/>
  <c r="D320" i="7"/>
  <c r="F320" i="7"/>
  <c r="G184" i="7"/>
  <c r="C184" i="7"/>
  <c r="F184" i="7"/>
  <c r="B184" i="7"/>
  <c r="I184" i="7"/>
  <c r="F258" i="7"/>
  <c r="B258" i="7"/>
  <c r="E258" i="7"/>
  <c r="I258" i="7"/>
  <c r="D258" i="7"/>
  <c r="G259" i="7"/>
  <c r="C259" i="7"/>
  <c r="E259" i="7"/>
  <c r="I259" i="7"/>
  <c r="D259" i="7"/>
  <c r="H260" i="7"/>
  <c r="D260" i="7"/>
  <c r="E260" i="7"/>
  <c r="I260" i="7"/>
  <c r="C260" i="7"/>
  <c r="F274" i="7"/>
  <c r="B274" i="7"/>
  <c r="E274" i="7"/>
  <c r="I274" i="7"/>
  <c r="D274" i="7"/>
  <c r="G275" i="7"/>
  <c r="C275" i="7"/>
  <c r="E275" i="7"/>
  <c r="I275" i="7"/>
  <c r="D275" i="7"/>
  <c r="H276" i="7"/>
  <c r="D276" i="7"/>
  <c r="E276" i="7"/>
  <c r="I276" i="7"/>
  <c r="C276" i="7"/>
  <c r="I290" i="7"/>
  <c r="F290" i="7"/>
  <c r="B290" i="7"/>
  <c r="E290" i="7"/>
  <c r="D290" i="7"/>
  <c r="G296" i="7"/>
  <c r="C296" i="7"/>
  <c r="H296" i="7"/>
  <c r="B296" i="7"/>
  <c r="E296" i="7"/>
  <c r="D296" i="7"/>
  <c r="F349" i="7"/>
  <c r="B349" i="7"/>
  <c r="I349" i="7"/>
  <c r="D349" i="7"/>
  <c r="C349" i="7"/>
  <c r="G350" i="7"/>
  <c r="C350" i="7"/>
  <c r="I350" i="7"/>
  <c r="D350" i="7"/>
  <c r="F350" i="7"/>
  <c r="H4" i="8"/>
  <c r="D4" i="8"/>
  <c r="C4" i="8"/>
  <c r="F4" i="8"/>
  <c r="H12" i="8"/>
  <c r="D12" i="8"/>
  <c r="C12" i="8"/>
  <c r="F12" i="8"/>
  <c r="E12" i="8"/>
  <c r="H16" i="8"/>
  <c r="D16" i="8"/>
  <c r="C16" i="8"/>
  <c r="F16" i="8"/>
  <c r="E16" i="8"/>
  <c r="H20" i="8"/>
  <c r="D20" i="8"/>
  <c r="C20" i="8"/>
  <c r="F20" i="8"/>
  <c r="E20" i="8"/>
  <c r="H24" i="8"/>
  <c r="D24" i="8"/>
  <c r="C24" i="8"/>
  <c r="F24" i="8"/>
  <c r="E24" i="8"/>
  <c r="G328" i="7"/>
  <c r="C328" i="7"/>
  <c r="H328" i="7"/>
  <c r="B328" i="7"/>
  <c r="I328" i="7"/>
  <c r="F333" i="7"/>
  <c r="B333" i="7"/>
  <c r="I333" i="7"/>
  <c r="D333" i="7"/>
  <c r="C333" i="7"/>
  <c r="G334" i="7"/>
  <c r="C334" i="7"/>
  <c r="I334" i="7"/>
  <c r="D334" i="7"/>
  <c r="F334" i="7"/>
  <c r="H351" i="7"/>
  <c r="D351" i="7"/>
  <c r="I351" i="7"/>
  <c r="C351" i="7"/>
  <c r="B351" i="7"/>
  <c r="F357" i="7"/>
  <c r="B357" i="7"/>
  <c r="I357" i="7"/>
  <c r="D357" i="7"/>
  <c r="G357" i="7"/>
  <c r="H6" i="8"/>
  <c r="D6" i="8"/>
  <c r="C6" i="8"/>
  <c r="B6" i="8"/>
  <c r="E155" i="7"/>
  <c r="I155" i="7"/>
  <c r="E159" i="7"/>
  <c r="I159" i="7"/>
  <c r="E163" i="7"/>
  <c r="I163" i="7"/>
  <c r="E167" i="7"/>
  <c r="I167" i="7"/>
  <c r="E171" i="7"/>
  <c r="I171" i="7"/>
  <c r="E175" i="7"/>
  <c r="I175" i="7"/>
  <c r="E179" i="7"/>
  <c r="I179" i="7"/>
  <c r="E183" i="7"/>
  <c r="I183" i="7"/>
  <c r="E187" i="7"/>
  <c r="I187" i="7"/>
  <c r="G191" i="7"/>
  <c r="C191" i="7"/>
  <c r="F191" i="7"/>
  <c r="H192" i="7"/>
  <c r="D192" i="7"/>
  <c r="F192" i="7"/>
  <c r="F198" i="7"/>
  <c r="B198" i="7"/>
  <c r="G198" i="7"/>
  <c r="G199" i="7"/>
  <c r="C199" i="7"/>
  <c r="F199" i="7"/>
  <c r="H200" i="7"/>
  <c r="D200" i="7"/>
  <c r="F200" i="7"/>
  <c r="F206" i="7"/>
  <c r="B206" i="7"/>
  <c r="G206" i="7"/>
  <c r="G207" i="7"/>
  <c r="C207" i="7"/>
  <c r="F207" i="7"/>
  <c r="H208" i="7"/>
  <c r="D208" i="7"/>
  <c r="F208" i="7"/>
  <c r="F214" i="7"/>
  <c r="B214" i="7"/>
  <c r="G214" i="7"/>
  <c r="G215" i="7"/>
  <c r="C215" i="7"/>
  <c r="F215" i="7"/>
  <c r="H216" i="7"/>
  <c r="D216" i="7"/>
  <c r="F216" i="7"/>
  <c r="F222" i="7"/>
  <c r="B222" i="7"/>
  <c r="G222" i="7"/>
  <c r="G223" i="7"/>
  <c r="C223" i="7"/>
  <c r="F223" i="7"/>
  <c r="H224" i="7"/>
  <c r="D224" i="7"/>
  <c r="F224" i="7"/>
  <c r="F230" i="7"/>
  <c r="B230" i="7"/>
  <c r="G230" i="7"/>
  <c r="G231" i="7"/>
  <c r="C231" i="7"/>
  <c r="F231" i="7"/>
  <c r="H232" i="7"/>
  <c r="D232" i="7"/>
  <c r="F232" i="7"/>
  <c r="F238" i="7"/>
  <c r="B238" i="7"/>
  <c r="G238" i="7"/>
  <c r="G239" i="7"/>
  <c r="C239" i="7"/>
  <c r="F239" i="7"/>
  <c r="H240" i="7"/>
  <c r="D240" i="7"/>
  <c r="F240" i="7"/>
  <c r="F246" i="7"/>
  <c r="B246" i="7"/>
  <c r="G246" i="7"/>
  <c r="G247" i="7"/>
  <c r="C247" i="7"/>
  <c r="F247" i="7"/>
  <c r="H248" i="7"/>
  <c r="D248" i="7"/>
  <c r="F248" i="7"/>
  <c r="F254" i="7"/>
  <c r="B254" i="7"/>
  <c r="G254" i="7"/>
  <c r="G255" i="7"/>
  <c r="C255" i="7"/>
  <c r="F255" i="7"/>
  <c r="H256" i="7"/>
  <c r="D256" i="7"/>
  <c r="F256" i="7"/>
  <c r="F262" i="7"/>
  <c r="B262" i="7"/>
  <c r="G262" i="7"/>
  <c r="G263" i="7"/>
  <c r="C263" i="7"/>
  <c r="F263" i="7"/>
  <c r="H264" i="7"/>
  <c r="D264" i="7"/>
  <c r="F264" i="7"/>
  <c r="F270" i="7"/>
  <c r="B270" i="7"/>
  <c r="G270" i="7"/>
  <c r="G271" i="7"/>
  <c r="C271" i="7"/>
  <c r="F271" i="7"/>
  <c r="H272" i="7"/>
  <c r="D272" i="7"/>
  <c r="F272" i="7"/>
  <c r="F278" i="7"/>
  <c r="B278" i="7"/>
  <c r="G278" i="7"/>
  <c r="G279" i="7"/>
  <c r="C279" i="7"/>
  <c r="F279" i="7"/>
  <c r="H280" i="7"/>
  <c r="D280" i="7"/>
  <c r="F280" i="7"/>
  <c r="F286" i="7"/>
  <c r="B286" i="7"/>
  <c r="G286" i="7"/>
  <c r="G287" i="7"/>
  <c r="C287" i="7"/>
  <c r="F287" i="7"/>
  <c r="H288" i="7"/>
  <c r="D288" i="7"/>
  <c r="F288" i="7"/>
  <c r="D328" i="7"/>
  <c r="E333" i="7"/>
  <c r="B334" i="7"/>
  <c r="H335" i="7"/>
  <c r="D335" i="7"/>
  <c r="I335" i="7"/>
  <c r="C335" i="7"/>
  <c r="B335" i="7"/>
  <c r="F341" i="7"/>
  <c r="B341" i="7"/>
  <c r="I341" i="7"/>
  <c r="D341" i="7"/>
  <c r="G341" i="7"/>
  <c r="G349" i="7"/>
  <c r="E350" i="7"/>
  <c r="E351" i="7"/>
  <c r="C357" i="7"/>
  <c r="G358" i="7"/>
  <c r="C358" i="7"/>
  <c r="I358" i="7"/>
  <c r="D358" i="7"/>
  <c r="B358" i="7"/>
  <c r="H359" i="7"/>
  <c r="D359" i="7"/>
  <c r="I359" i="7"/>
  <c r="C359" i="7"/>
  <c r="F359" i="7"/>
  <c r="E4" i="8"/>
  <c r="E6" i="8"/>
  <c r="H8" i="8"/>
  <c r="D8" i="8"/>
  <c r="C8" i="8"/>
  <c r="F8" i="8"/>
  <c r="G12" i="8"/>
  <c r="G16" i="8"/>
  <c r="G20" i="8"/>
  <c r="G24" i="8"/>
  <c r="E2" i="7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0" i="7"/>
  <c r="E154" i="7"/>
  <c r="B155" i="7"/>
  <c r="F155" i="7"/>
  <c r="E158" i="7"/>
  <c r="B159" i="7"/>
  <c r="F159" i="7"/>
  <c r="E162" i="7"/>
  <c r="B163" i="7"/>
  <c r="F163" i="7"/>
  <c r="E166" i="7"/>
  <c r="B167" i="7"/>
  <c r="F167" i="7"/>
  <c r="E170" i="7"/>
  <c r="B171" i="7"/>
  <c r="F171" i="7"/>
  <c r="E174" i="7"/>
  <c r="B175" i="7"/>
  <c r="F175" i="7"/>
  <c r="E178" i="7"/>
  <c r="B179" i="7"/>
  <c r="F179" i="7"/>
  <c r="E182" i="7"/>
  <c r="B183" i="7"/>
  <c r="F183" i="7"/>
  <c r="E186" i="7"/>
  <c r="B187" i="7"/>
  <c r="F187" i="7"/>
  <c r="E190" i="7"/>
  <c r="B191" i="7"/>
  <c r="H191" i="7"/>
  <c r="B192" i="7"/>
  <c r="G192" i="7"/>
  <c r="C198" i="7"/>
  <c r="H198" i="7"/>
  <c r="B199" i="7"/>
  <c r="H199" i="7"/>
  <c r="B200" i="7"/>
  <c r="G200" i="7"/>
  <c r="C206" i="7"/>
  <c r="H206" i="7"/>
  <c r="B207" i="7"/>
  <c r="H207" i="7"/>
  <c r="B208" i="7"/>
  <c r="G208" i="7"/>
  <c r="C214" i="7"/>
  <c r="H214" i="7"/>
  <c r="B215" i="7"/>
  <c r="H215" i="7"/>
  <c r="B216" i="7"/>
  <c r="G216" i="7"/>
  <c r="C222" i="7"/>
  <c r="H222" i="7"/>
  <c r="B223" i="7"/>
  <c r="H223" i="7"/>
  <c r="B224" i="7"/>
  <c r="G224" i="7"/>
  <c r="C230" i="7"/>
  <c r="H230" i="7"/>
  <c r="B231" i="7"/>
  <c r="H231" i="7"/>
  <c r="B232" i="7"/>
  <c r="G232" i="7"/>
  <c r="C238" i="7"/>
  <c r="H238" i="7"/>
  <c r="B239" i="7"/>
  <c r="H239" i="7"/>
  <c r="B240" i="7"/>
  <c r="G240" i="7"/>
  <c r="C246" i="7"/>
  <c r="H246" i="7"/>
  <c r="B247" i="7"/>
  <c r="H247" i="7"/>
  <c r="B248" i="7"/>
  <c r="G248" i="7"/>
  <c r="C254" i="7"/>
  <c r="H254" i="7"/>
  <c r="B255" i="7"/>
  <c r="H255" i="7"/>
  <c r="B256" i="7"/>
  <c r="G256" i="7"/>
  <c r="C262" i="7"/>
  <c r="H262" i="7"/>
  <c r="B263" i="7"/>
  <c r="H263" i="7"/>
  <c r="B264" i="7"/>
  <c r="G264" i="7"/>
  <c r="C270" i="7"/>
  <c r="H270" i="7"/>
  <c r="B271" i="7"/>
  <c r="H271" i="7"/>
  <c r="B272" i="7"/>
  <c r="G272" i="7"/>
  <c r="C278" i="7"/>
  <c r="H278" i="7"/>
  <c r="B279" i="7"/>
  <c r="H279" i="7"/>
  <c r="B280" i="7"/>
  <c r="G280" i="7"/>
  <c r="C286" i="7"/>
  <c r="H286" i="7"/>
  <c r="B287" i="7"/>
  <c r="H287" i="7"/>
  <c r="B288" i="7"/>
  <c r="G288" i="7"/>
  <c r="F291" i="7"/>
  <c r="B291" i="7"/>
  <c r="E291" i="7"/>
  <c r="H291" i="7"/>
  <c r="H293" i="7"/>
  <c r="D293" i="7"/>
  <c r="E293" i="7"/>
  <c r="G293" i="7"/>
  <c r="F295" i="7"/>
  <c r="B295" i="7"/>
  <c r="H295" i="7"/>
  <c r="C295" i="7"/>
  <c r="I295" i="7"/>
  <c r="H297" i="7"/>
  <c r="D297" i="7"/>
  <c r="G297" i="7"/>
  <c r="B297" i="7"/>
  <c r="I297" i="7"/>
  <c r="F299" i="7"/>
  <c r="B299" i="7"/>
  <c r="E299" i="7"/>
  <c r="H299" i="7"/>
  <c r="H301" i="7"/>
  <c r="D301" i="7"/>
  <c r="E301" i="7"/>
  <c r="G301" i="7"/>
  <c r="F303" i="7"/>
  <c r="B303" i="7"/>
  <c r="H303" i="7"/>
  <c r="C303" i="7"/>
  <c r="I303" i="7"/>
  <c r="H305" i="7"/>
  <c r="D305" i="7"/>
  <c r="G305" i="7"/>
  <c r="B305" i="7"/>
  <c r="I305" i="7"/>
  <c r="F307" i="7"/>
  <c r="B307" i="7"/>
  <c r="E307" i="7"/>
  <c r="H307" i="7"/>
  <c r="H309" i="7"/>
  <c r="D309" i="7"/>
  <c r="E309" i="7"/>
  <c r="G309" i="7"/>
  <c r="F311" i="7"/>
  <c r="B311" i="7"/>
  <c r="H311" i="7"/>
  <c r="C311" i="7"/>
  <c r="I311" i="7"/>
  <c r="H313" i="7"/>
  <c r="D313" i="7"/>
  <c r="G313" i="7"/>
  <c r="B313" i="7"/>
  <c r="I313" i="7"/>
  <c r="F315" i="7"/>
  <c r="B315" i="7"/>
  <c r="E315" i="7"/>
  <c r="H315" i="7"/>
  <c r="H317" i="7"/>
  <c r="D317" i="7"/>
  <c r="E317" i="7"/>
  <c r="G317" i="7"/>
  <c r="F319" i="7"/>
  <c r="B319" i="7"/>
  <c r="H319" i="7"/>
  <c r="C319" i="7"/>
  <c r="I319" i="7"/>
  <c r="H321" i="7"/>
  <c r="D321" i="7"/>
  <c r="G321" i="7"/>
  <c r="B321" i="7"/>
  <c r="I321" i="7"/>
  <c r="F323" i="7"/>
  <c r="B323" i="7"/>
  <c r="E323" i="7"/>
  <c r="H323" i="7"/>
  <c r="H325" i="7"/>
  <c r="D325" i="7"/>
  <c r="E325" i="7"/>
  <c r="G325" i="7"/>
  <c r="F327" i="7"/>
  <c r="B327" i="7"/>
  <c r="H327" i="7"/>
  <c r="C327" i="7"/>
  <c r="I327" i="7"/>
  <c r="E328" i="7"/>
  <c r="H329" i="7"/>
  <c r="D329" i="7"/>
  <c r="G329" i="7"/>
  <c r="B329" i="7"/>
  <c r="I329" i="7"/>
  <c r="G333" i="7"/>
  <c r="E334" i="7"/>
  <c r="E335" i="7"/>
  <c r="C341" i="7"/>
  <c r="G342" i="7"/>
  <c r="C342" i="7"/>
  <c r="I342" i="7"/>
  <c r="D342" i="7"/>
  <c r="B342" i="7"/>
  <c r="H343" i="7"/>
  <c r="D343" i="7"/>
  <c r="I343" i="7"/>
  <c r="C343" i="7"/>
  <c r="F343" i="7"/>
  <c r="H349" i="7"/>
  <c r="H350" i="7"/>
  <c r="F351" i="7"/>
  <c r="E357" i="7"/>
  <c r="E358" i="7"/>
  <c r="B359" i="7"/>
  <c r="H2" i="8"/>
  <c r="D2" i="8"/>
  <c r="C2" i="8"/>
  <c r="B2" i="8"/>
  <c r="G4" i="8"/>
  <c r="F6" i="8"/>
  <c r="B8" i="8"/>
  <c r="H10" i="8"/>
  <c r="D10" i="8"/>
  <c r="C10" i="8"/>
  <c r="B10" i="8"/>
  <c r="H14" i="8"/>
  <c r="D14" i="8"/>
  <c r="C14" i="8"/>
  <c r="G14" i="8"/>
  <c r="H18" i="8"/>
  <c r="D18" i="8"/>
  <c r="C18" i="8"/>
  <c r="G18" i="8"/>
  <c r="H22" i="8"/>
  <c r="D22" i="8"/>
  <c r="C22" i="8"/>
  <c r="G22" i="8"/>
  <c r="E26" i="8"/>
  <c r="D26" i="8"/>
  <c r="C26" i="8"/>
  <c r="H26" i="8"/>
  <c r="E193" i="7"/>
  <c r="E197" i="7"/>
  <c r="E201" i="7"/>
  <c r="E205" i="7"/>
  <c r="E209" i="7"/>
  <c r="E213" i="7"/>
  <c r="E217" i="7"/>
  <c r="E221" i="7"/>
  <c r="E225" i="7"/>
  <c r="E229" i="7"/>
  <c r="E233" i="7"/>
  <c r="E237" i="7"/>
  <c r="E241" i="7"/>
  <c r="E245" i="7"/>
  <c r="E249" i="7"/>
  <c r="E253" i="7"/>
  <c r="E257" i="7"/>
  <c r="E261" i="7"/>
  <c r="E265" i="7"/>
  <c r="E269" i="7"/>
  <c r="E273" i="7"/>
  <c r="E277" i="7"/>
  <c r="E281" i="7"/>
  <c r="E285" i="7"/>
  <c r="E289" i="7"/>
  <c r="B14" i="8"/>
  <c r="B18" i="8"/>
  <c r="B22" i="8"/>
  <c r="B26" i="8"/>
  <c r="E294" i="7"/>
  <c r="E298" i="7"/>
  <c r="E302" i="7"/>
  <c r="E306" i="7"/>
  <c r="E310" i="7"/>
  <c r="E314" i="7"/>
  <c r="E318" i="7"/>
  <c r="E322" i="7"/>
  <c r="E326" i="7"/>
  <c r="G330" i="7"/>
  <c r="C330" i="7"/>
  <c r="F330" i="7"/>
  <c r="H331" i="7"/>
  <c r="D331" i="7"/>
  <c r="F331" i="7"/>
  <c r="F337" i="7"/>
  <c r="B337" i="7"/>
  <c r="G337" i="7"/>
  <c r="G338" i="7"/>
  <c r="C338" i="7"/>
  <c r="F338" i="7"/>
  <c r="H339" i="7"/>
  <c r="D339" i="7"/>
  <c r="F339" i="7"/>
  <c r="F345" i="7"/>
  <c r="B345" i="7"/>
  <c r="G345" i="7"/>
  <c r="G346" i="7"/>
  <c r="C346" i="7"/>
  <c r="F346" i="7"/>
  <c r="H347" i="7"/>
  <c r="D347" i="7"/>
  <c r="F347" i="7"/>
  <c r="F353" i="7"/>
  <c r="B353" i="7"/>
  <c r="G353" i="7"/>
  <c r="G354" i="7"/>
  <c r="C354" i="7"/>
  <c r="F354" i="7"/>
  <c r="H355" i="7"/>
  <c r="D355" i="7"/>
  <c r="F355" i="7"/>
  <c r="H3" i="8"/>
  <c r="D3" i="8"/>
  <c r="F3" i="8"/>
  <c r="H5" i="8"/>
  <c r="D5" i="8"/>
  <c r="F5" i="8"/>
  <c r="H7" i="8"/>
  <c r="D7" i="8"/>
  <c r="F7" i="8"/>
  <c r="H9" i="8"/>
  <c r="D9" i="8"/>
  <c r="F9" i="8"/>
  <c r="H11" i="8"/>
  <c r="D11" i="8"/>
  <c r="F11" i="8"/>
  <c r="H13" i="8"/>
  <c r="D13" i="8"/>
  <c r="F13" i="8"/>
  <c r="H15" i="8"/>
  <c r="D15" i="8"/>
  <c r="F15" i="8"/>
  <c r="H17" i="8"/>
  <c r="D17" i="8"/>
  <c r="F17" i="8"/>
  <c r="H19" i="8"/>
  <c r="D19" i="8"/>
  <c r="F19" i="8"/>
  <c r="H21" i="8"/>
  <c r="D21" i="8"/>
  <c r="F21" i="8"/>
  <c r="H23" i="8"/>
  <c r="D23" i="8"/>
  <c r="F23" i="8"/>
  <c r="H25" i="8"/>
  <c r="D25" i="8"/>
  <c r="F25" i="8"/>
  <c r="G244" i="8"/>
  <c r="C244" i="8"/>
  <c r="E244" i="8"/>
  <c r="H244" i="8"/>
  <c r="B244" i="8"/>
  <c r="G248" i="8"/>
  <c r="C248" i="8"/>
  <c r="E248" i="8"/>
  <c r="H248" i="8"/>
  <c r="B248" i="8"/>
  <c r="G252" i="8"/>
  <c r="C252" i="8"/>
  <c r="E252" i="8"/>
  <c r="H252" i="8"/>
  <c r="B252" i="8"/>
  <c r="G256" i="8"/>
  <c r="C256" i="8"/>
  <c r="E256" i="8"/>
  <c r="H256" i="8"/>
  <c r="B256" i="8"/>
  <c r="G260" i="8"/>
  <c r="C260" i="8"/>
  <c r="E260" i="8"/>
  <c r="H260" i="8"/>
  <c r="B260" i="8"/>
  <c r="G264" i="8"/>
  <c r="C264" i="8"/>
  <c r="E264" i="8"/>
  <c r="H264" i="8"/>
  <c r="B264" i="8"/>
  <c r="G268" i="8"/>
  <c r="C268" i="8"/>
  <c r="E268" i="8"/>
  <c r="H268" i="8"/>
  <c r="B268" i="8"/>
  <c r="G272" i="8"/>
  <c r="C272" i="8"/>
  <c r="E272" i="8"/>
  <c r="H272" i="8"/>
  <c r="B272" i="8"/>
  <c r="G276" i="8"/>
  <c r="C276" i="8"/>
  <c r="E276" i="8"/>
  <c r="H276" i="8"/>
  <c r="B276" i="8"/>
  <c r="G280" i="8"/>
  <c r="C280" i="8"/>
  <c r="E280" i="8"/>
  <c r="H280" i="8"/>
  <c r="B280" i="8"/>
  <c r="G284" i="8"/>
  <c r="C284" i="8"/>
  <c r="E284" i="8"/>
  <c r="H284" i="8"/>
  <c r="B284" i="8"/>
  <c r="G288" i="8"/>
  <c r="C288" i="8"/>
  <c r="E288" i="8"/>
  <c r="H288" i="8"/>
  <c r="B288" i="8"/>
  <c r="G292" i="8"/>
  <c r="C292" i="8"/>
  <c r="E292" i="8"/>
  <c r="H292" i="8"/>
  <c r="B292" i="8"/>
  <c r="G296" i="8"/>
  <c r="C296" i="8"/>
  <c r="E296" i="8"/>
  <c r="H296" i="8"/>
  <c r="B296" i="8"/>
  <c r="G300" i="8"/>
  <c r="C300" i="8"/>
  <c r="E300" i="8"/>
  <c r="H300" i="8"/>
  <c r="B300" i="8"/>
  <c r="G304" i="8"/>
  <c r="C304" i="8"/>
  <c r="E304" i="8"/>
  <c r="H304" i="8"/>
  <c r="B304" i="8"/>
  <c r="G308" i="8"/>
  <c r="C308" i="8"/>
  <c r="E308" i="8"/>
  <c r="H308" i="8"/>
  <c r="B308" i="8"/>
  <c r="H316" i="8"/>
  <c r="D316" i="8"/>
  <c r="E316" i="8"/>
  <c r="B316" i="8"/>
  <c r="F316" i="8"/>
  <c r="H324" i="8"/>
  <c r="D324" i="8"/>
  <c r="E324" i="8"/>
  <c r="B324" i="8"/>
  <c r="F324" i="8"/>
  <c r="G347" i="8"/>
  <c r="C347" i="8"/>
  <c r="F347" i="8"/>
  <c r="B347" i="8"/>
  <c r="H347" i="8"/>
  <c r="D347" i="8"/>
  <c r="E347" i="8"/>
  <c r="D244" i="8"/>
  <c r="G247" i="8"/>
  <c r="C247" i="8"/>
  <c r="H247" i="8"/>
  <c r="B247" i="8"/>
  <c r="E247" i="8"/>
  <c r="D248" i="8"/>
  <c r="G251" i="8"/>
  <c r="C251" i="8"/>
  <c r="H251" i="8"/>
  <c r="B251" i="8"/>
  <c r="E251" i="8"/>
  <c r="D252" i="8"/>
  <c r="G255" i="8"/>
  <c r="C255" i="8"/>
  <c r="H255" i="8"/>
  <c r="B255" i="8"/>
  <c r="E255" i="8"/>
  <c r="D256" i="8"/>
  <c r="G259" i="8"/>
  <c r="C259" i="8"/>
  <c r="H259" i="8"/>
  <c r="B259" i="8"/>
  <c r="E259" i="8"/>
  <c r="D260" i="8"/>
  <c r="G263" i="8"/>
  <c r="C263" i="8"/>
  <c r="H263" i="8"/>
  <c r="B263" i="8"/>
  <c r="E263" i="8"/>
  <c r="D264" i="8"/>
  <c r="G267" i="8"/>
  <c r="C267" i="8"/>
  <c r="H267" i="8"/>
  <c r="B267" i="8"/>
  <c r="E267" i="8"/>
  <c r="D268" i="8"/>
  <c r="G271" i="8"/>
  <c r="C271" i="8"/>
  <c r="H271" i="8"/>
  <c r="B271" i="8"/>
  <c r="E271" i="8"/>
  <c r="D272" i="8"/>
  <c r="G275" i="8"/>
  <c r="C275" i="8"/>
  <c r="H275" i="8"/>
  <c r="B275" i="8"/>
  <c r="E275" i="8"/>
  <c r="D276" i="8"/>
  <c r="G279" i="8"/>
  <c r="C279" i="8"/>
  <c r="H279" i="8"/>
  <c r="B279" i="8"/>
  <c r="E279" i="8"/>
  <c r="D280" i="8"/>
  <c r="G283" i="8"/>
  <c r="C283" i="8"/>
  <c r="H283" i="8"/>
  <c r="B283" i="8"/>
  <c r="E283" i="8"/>
  <c r="D284" i="8"/>
  <c r="G287" i="8"/>
  <c r="C287" i="8"/>
  <c r="H287" i="8"/>
  <c r="B287" i="8"/>
  <c r="E287" i="8"/>
  <c r="D288" i="8"/>
  <c r="G291" i="8"/>
  <c r="C291" i="8"/>
  <c r="H291" i="8"/>
  <c r="B291" i="8"/>
  <c r="E291" i="8"/>
  <c r="D292" i="8"/>
  <c r="G295" i="8"/>
  <c r="C295" i="8"/>
  <c r="H295" i="8"/>
  <c r="B295" i="8"/>
  <c r="E295" i="8"/>
  <c r="D296" i="8"/>
  <c r="G299" i="8"/>
  <c r="C299" i="8"/>
  <c r="H299" i="8"/>
  <c r="B299" i="8"/>
  <c r="E299" i="8"/>
  <c r="D300" i="8"/>
  <c r="G303" i="8"/>
  <c r="C303" i="8"/>
  <c r="H303" i="8"/>
  <c r="B303" i="8"/>
  <c r="E303" i="8"/>
  <c r="D304" i="8"/>
  <c r="G307" i="8"/>
  <c r="C307" i="8"/>
  <c r="H307" i="8"/>
  <c r="B307" i="8"/>
  <c r="E307" i="8"/>
  <c r="D308" i="8"/>
  <c r="H311" i="8"/>
  <c r="D311" i="8"/>
  <c r="G311" i="8"/>
  <c r="B311" i="8"/>
  <c r="F311" i="8"/>
  <c r="C311" i="8"/>
  <c r="C316" i="8"/>
  <c r="H319" i="8"/>
  <c r="D319" i="8"/>
  <c r="G319" i="8"/>
  <c r="B319" i="8"/>
  <c r="F319" i="8"/>
  <c r="C319" i="8"/>
  <c r="C324" i="8"/>
  <c r="H327" i="8"/>
  <c r="D327" i="8"/>
  <c r="G327" i="8"/>
  <c r="B327" i="8"/>
  <c r="F327" i="8"/>
  <c r="C327" i="8"/>
  <c r="E332" i="7"/>
  <c r="E336" i="7"/>
  <c r="E340" i="7"/>
  <c r="E344" i="7"/>
  <c r="E348" i="7"/>
  <c r="E352" i="7"/>
  <c r="E356" i="7"/>
  <c r="E360" i="7"/>
  <c r="F244" i="8"/>
  <c r="G246" i="8"/>
  <c r="C246" i="8"/>
  <c r="E246" i="8"/>
  <c r="H246" i="8"/>
  <c r="B246" i="8"/>
  <c r="D247" i="8"/>
  <c r="F248" i="8"/>
  <c r="G250" i="8"/>
  <c r="C250" i="8"/>
  <c r="E250" i="8"/>
  <c r="H250" i="8"/>
  <c r="B250" i="8"/>
  <c r="D251" i="8"/>
  <c r="F252" i="8"/>
  <c r="G254" i="8"/>
  <c r="C254" i="8"/>
  <c r="E254" i="8"/>
  <c r="H254" i="8"/>
  <c r="B254" i="8"/>
  <c r="D255" i="8"/>
  <c r="F256" i="8"/>
  <c r="G258" i="8"/>
  <c r="C258" i="8"/>
  <c r="E258" i="8"/>
  <c r="H258" i="8"/>
  <c r="B258" i="8"/>
  <c r="D259" i="8"/>
  <c r="F260" i="8"/>
  <c r="G262" i="8"/>
  <c r="C262" i="8"/>
  <c r="E262" i="8"/>
  <c r="H262" i="8"/>
  <c r="B262" i="8"/>
  <c r="D263" i="8"/>
  <c r="F264" i="8"/>
  <c r="G266" i="8"/>
  <c r="C266" i="8"/>
  <c r="E266" i="8"/>
  <c r="H266" i="8"/>
  <c r="B266" i="8"/>
  <c r="D267" i="8"/>
  <c r="F268" i="8"/>
  <c r="G270" i="8"/>
  <c r="C270" i="8"/>
  <c r="E270" i="8"/>
  <c r="H270" i="8"/>
  <c r="B270" i="8"/>
  <c r="D271" i="8"/>
  <c r="F272" i="8"/>
  <c r="G274" i="8"/>
  <c r="C274" i="8"/>
  <c r="E274" i="8"/>
  <c r="H274" i="8"/>
  <c r="B274" i="8"/>
  <c r="D275" i="8"/>
  <c r="F276" i="8"/>
  <c r="G278" i="8"/>
  <c r="C278" i="8"/>
  <c r="E278" i="8"/>
  <c r="H278" i="8"/>
  <c r="B278" i="8"/>
  <c r="D279" i="8"/>
  <c r="F280" i="8"/>
  <c r="G282" i="8"/>
  <c r="C282" i="8"/>
  <c r="E282" i="8"/>
  <c r="H282" i="8"/>
  <c r="B282" i="8"/>
  <c r="D283" i="8"/>
  <c r="F284" i="8"/>
  <c r="G286" i="8"/>
  <c r="C286" i="8"/>
  <c r="E286" i="8"/>
  <c r="H286" i="8"/>
  <c r="B286" i="8"/>
  <c r="D287" i="8"/>
  <c r="F288" i="8"/>
  <c r="G290" i="8"/>
  <c r="C290" i="8"/>
  <c r="E290" i="8"/>
  <c r="H290" i="8"/>
  <c r="B290" i="8"/>
  <c r="D291" i="8"/>
  <c r="F292" i="8"/>
  <c r="G294" i="8"/>
  <c r="C294" i="8"/>
  <c r="E294" i="8"/>
  <c r="H294" i="8"/>
  <c r="B294" i="8"/>
  <c r="D295" i="8"/>
  <c r="F296" i="8"/>
  <c r="G298" i="8"/>
  <c r="C298" i="8"/>
  <c r="E298" i="8"/>
  <c r="H298" i="8"/>
  <c r="B298" i="8"/>
  <c r="D299" i="8"/>
  <c r="F300" i="8"/>
  <c r="G302" i="8"/>
  <c r="C302" i="8"/>
  <c r="E302" i="8"/>
  <c r="H302" i="8"/>
  <c r="B302" i="8"/>
  <c r="D303" i="8"/>
  <c r="F304" i="8"/>
  <c r="G306" i="8"/>
  <c r="C306" i="8"/>
  <c r="E306" i="8"/>
  <c r="H306" i="8"/>
  <c r="B306" i="8"/>
  <c r="D307" i="8"/>
  <c r="F308" i="8"/>
  <c r="E311" i="8"/>
  <c r="H315" i="8"/>
  <c r="D315" i="8"/>
  <c r="G315" i="8"/>
  <c r="B315" i="8"/>
  <c r="C315" i="8"/>
  <c r="F315" i="8"/>
  <c r="G316" i="8"/>
  <c r="E319" i="8"/>
  <c r="H323" i="8"/>
  <c r="D323" i="8"/>
  <c r="G323" i="8"/>
  <c r="B323" i="8"/>
  <c r="C323" i="8"/>
  <c r="F323" i="8"/>
  <c r="G324" i="8"/>
  <c r="E327" i="8"/>
  <c r="G245" i="8"/>
  <c r="C245" i="8"/>
  <c r="H245" i="8"/>
  <c r="B245" i="8"/>
  <c r="E245" i="8"/>
  <c r="F247" i="8"/>
  <c r="G249" i="8"/>
  <c r="C249" i="8"/>
  <c r="H249" i="8"/>
  <c r="B249" i="8"/>
  <c r="E249" i="8"/>
  <c r="F251" i="8"/>
  <c r="G253" i="8"/>
  <c r="C253" i="8"/>
  <c r="H253" i="8"/>
  <c r="B253" i="8"/>
  <c r="E253" i="8"/>
  <c r="F255" i="8"/>
  <c r="G257" i="8"/>
  <c r="C257" i="8"/>
  <c r="H257" i="8"/>
  <c r="B257" i="8"/>
  <c r="E257" i="8"/>
  <c r="F259" i="8"/>
  <c r="G261" i="8"/>
  <c r="C261" i="8"/>
  <c r="H261" i="8"/>
  <c r="B261" i="8"/>
  <c r="E261" i="8"/>
  <c r="F263" i="8"/>
  <c r="G265" i="8"/>
  <c r="C265" i="8"/>
  <c r="H265" i="8"/>
  <c r="B265" i="8"/>
  <c r="E265" i="8"/>
  <c r="F267" i="8"/>
  <c r="G269" i="8"/>
  <c r="C269" i="8"/>
  <c r="H269" i="8"/>
  <c r="B269" i="8"/>
  <c r="E269" i="8"/>
  <c r="F271" i="8"/>
  <c r="G273" i="8"/>
  <c r="C273" i="8"/>
  <c r="H273" i="8"/>
  <c r="B273" i="8"/>
  <c r="E273" i="8"/>
  <c r="F275" i="8"/>
  <c r="G277" i="8"/>
  <c r="C277" i="8"/>
  <c r="H277" i="8"/>
  <c r="B277" i="8"/>
  <c r="E277" i="8"/>
  <c r="F279" i="8"/>
  <c r="G281" i="8"/>
  <c r="C281" i="8"/>
  <c r="H281" i="8"/>
  <c r="B281" i="8"/>
  <c r="E281" i="8"/>
  <c r="F283" i="8"/>
  <c r="G285" i="8"/>
  <c r="C285" i="8"/>
  <c r="H285" i="8"/>
  <c r="B285" i="8"/>
  <c r="E285" i="8"/>
  <c r="F287" i="8"/>
  <c r="G289" i="8"/>
  <c r="C289" i="8"/>
  <c r="H289" i="8"/>
  <c r="B289" i="8"/>
  <c r="E289" i="8"/>
  <c r="F291" i="8"/>
  <c r="G293" i="8"/>
  <c r="C293" i="8"/>
  <c r="H293" i="8"/>
  <c r="B293" i="8"/>
  <c r="E293" i="8"/>
  <c r="F295" i="8"/>
  <c r="G297" i="8"/>
  <c r="C297" i="8"/>
  <c r="H297" i="8"/>
  <c r="B297" i="8"/>
  <c r="E297" i="8"/>
  <c r="F299" i="8"/>
  <c r="G301" i="8"/>
  <c r="C301" i="8"/>
  <c r="H301" i="8"/>
  <c r="B301" i="8"/>
  <c r="E301" i="8"/>
  <c r="F303" i="8"/>
  <c r="G305" i="8"/>
  <c r="C305" i="8"/>
  <c r="H305" i="8"/>
  <c r="B305" i="8"/>
  <c r="E305" i="8"/>
  <c r="F307" i="8"/>
  <c r="H309" i="8"/>
  <c r="G309" i="8"/>
  <c r="C309" i="8"/>
  <c r="B309" i="8"/>
  <c r="E309" i="8"/>
  <c r="H312" i="8"/>
  <c r="D312" i="8"/>
  <c r="E312" i="8"/>
  <c r="F312" i="8"/>
  <c r="B312" i="8"/>
  <c r="H320" i="8"/>
  <c r="D320" i="8"/>
  <c r="E320" i="8"/>
  <c r="F320" i="8"/>
  <c r="B320" i="8"/>
  <c r="H328" i="8"/>
  <c r="D328" i="8"/>
  <c r="E328" i="8"/>
  <c r="F328" i="8"/>
  <c r="B328" i="8"/>
  <c r="E243" i="8"/>
  <c r="H313" i="8"/>
  <c r="D313" i="8"/>
  <c r="G313" i="8"/>
  <c r="B313" i="8"/>
  <c r="H314" i="8"/>
  <c r="D314" i="8"/>
  <c r="E314" i="8"/>
  <c r="G314" i="8"/>
  <c r="H321" i="8"/>
  <c r="D321" i="8"/>
  <c r="G321" i="8"/>
  <c r="B321" i="8"/>
  <c r="H322" i="8"/>
  <c r="D322" i="8"/>
  <c r="E322" i="8"/>
  <c r="G322" i="8"/>
  <c r="H329" i="8"/>
  <c r="D329" i="8"/>
  <c r="G329" i="8"/>
  <c r="B329" i="8"/>
  <c r="H330" i="8"/>
  <c r="D330" i="8"/>
  <c r="E330" i="8"/>
  <c r="G330" i="8"/>
  <c r="H331" i="8"/>
  <c r="D331" i="8"/>
  <c r="G331" i="8"/>
  <c r="B331" i="8"/>
  <c r="H332" i="8"/>
  <c r="D332" i="8"/>
  <c r="E332" i="8"/>
  <c r="G332" i="8"/>
  <c r="H310" i="8"/>
  <c r="D310" i="8"/>
  <c r="E310" i="8"/>
  <c r="G310" i="8"/>
  <c r="H317" i="8"/>
  <c r="D317" i="8"/>
  <c r="G317" i="8"/>
  <c r="B317" i="8"/>
  <c r="H318" i="8"/>
  <c r="D318" i="8"/>
  <c r="E318" i="8"/>
  <c r="G318" i="8"/>
  <c r="H325" i="8"/>
  <c r="D325" i="8"/>
  <c r="G325" i="8"/>
  <c r="B325" i="8"/>
  <c r="H326" i="8"/>
  <c r="D326" i="8"/>
  <c r="E326" i="8"/>
  <c r="G326" i="8"/>
  <c r="C331" i="8"/>
  <c r="B332" i="8"/>
  <c r="H333" i="8"/>
  <c r="D333" i="8"/>
  <c r="G333" i="8"/>
  <c r="B333" i="8"/>
  <c r="H334" i="8"/>
  <c r="D334" i="8"/>
  <c r="E334" i="8"/>
  <c r="G334" i="8"/>
  <c r="G345" i="8"/>
  <c r="C345" i="8"/>
  <c r="F345" i="8"/>
  <c r="B345" i="8"/>
  <c r="H345" i="8"/>
  <c r="D345" i="8"/>
  <c r="E345" i="8"/>
  <c r="G349" i="8"/>
  <c r="C349" i="8"/>
  <c r="F349" i="8"/>
  <c r="B349" i="8"/>
  <c r="H349" i="8"/>
  <c r="D349" i="8"/>
  <c r="E349" i="8"/>
  <c r="D335" i="8"/>
  <c r="H335" i="8"/>
  <c r="D336" i="8"/>
  <c r="H336" i="8"/>
  <c r="D337" i="8"/>
  <c r="H337" i="8"/>
  <c r="D338" i="8"/>
  <c r="H338" i="8"/>
  <c r="D339" i="8"/>
  <c r="H339" i="8"/>
  <c r="D340" i="8"/>
  <c r="H340" i="8"/>
  <c r="D341" i="8"/>
  <c r="H341" i="8"/>
  <c r="D342" i="8"/>
  <c r="H342" i="8"/>
  <c r="G343" i="8"/>
  <c r="C343" i="8"/>
  <c r="F343" i="8"/>
  <c r="H343" i="8"/>
  <c r="G344" i="8"/>
  <c r="C344" i="8"/>
  <c r="F344" i="8"/>
  <c r="B344" i="8"/>
  <c r="H344" i="8"/>
  <c r="D344" i="8"/>
  <c r="G346" i="8"/>
  <c r="C346" i="8"/>
  <c r="F346" i="8"/>
  <c r="B346" i="8"/>
  <c r="H346" i="8"/>
  <c r="D346" i="8"/>
  <c r="G348" i="8"/>
  <c r="C348" i="8"/>
  <c r="F348" i="8"/>
  <c r="B348" i="8"/>
  <c r="H348" i="8"/>
  <c r="D348" i="8"/>
  <c r="G350" i="8"/>
  <c r="C350" i="8"/>
  <c r="F350" i="8"/>
  <c r="B350" i="8"/>
  <c r="H350" i="8"/>
  <c r="D350" i="8"/>
  <c r="G352" i="8"/>
  <c r="C352" i="8"/>
  <c r="F352" i="8"/>
  <c r="B352" i="8"/>
  <c r="H352" i="8"/>
  <c r="D352" i="8"/>
  <c r="G354" i="8"/>
  <c r="C354" i="8"/>
  <c r="F354" i="8"/>
  <c r="B354" i="8"/>
  <c r="H354" i="8"/>
  <c r="D354" i="8"/>
  <c r="G356" i="8"/>
  <c r="C356" i="8"/>
  <c r="F356" i="8"/>
  <c r="B356" i="8"/>
  <c r="H356" i="8"/>
  <c r="D356" i="8"/>
  <c r="G358" i="8"/>
  <c r="C358" i="8"/>
  <c r="F358" i="8"/>
  <c r="B358" i="8"/>
  <c r="H358" i="8"/>
  <c r="D358" i="8"/>
  <c r="G360" i="8"/>
  <c r="C360" i="8"/>
  <c r="F360" i="8"/>
  <c r="B360" i="8"/>
  <c r="H360" i="8"/>
  <c r="D360" i="8"/>
  <c r="G351" i="8"/>
  <c r="C351" i="8"/>
  <c r="F351" i="8"/>
  <c r="B351" i="8"/>
  <c r="H351" i="8"/>
  <c r="D351" i="8"/>
  <c r="G353" i="8"/>
  <c r="C353" i="8"/>
  <c r="F353" i="8"/>
  <c r="B353" i="8"/>
  <c r="H353" i="8"/>
  <c r="D353" i="8"/>
  <c r="G355" i="8"/>
  <c r="C355" i="8"/>
  <c r="F355" i="8"/>
  <c r="B355" i="8"/>
  <c r="H355" i="8"/>
  <c r="D355" i="8"/>
  <c r="G357" i="8"/>
  <c r="C357" i="8"/>
  <c r="F357" i="8"/>
  <c r="B357" i="8"/>
  <c r="H357" i="8"/>
  <c r="D357" i="8"/>
  <c r="G359" i="8"/>
  <c r="C359" i="8"/>
  <c r="F359" i="8"/>
  <c r="B359" i="8"/>
  <c r="H359" i="8"/>
  <c r="D359" i="8"/>
  <c r="M451" i="13"/>
  <c r="M450" i="13"/>
  <c r="M401" i="13"/>
  <c r="M405" i="13"/>
  <c r="M409" i="13"/>
  <c r="M413" i="13"/>
  <c r="M417" i="13"/>
  <c r="M421" i="13"/>
  <c r="M427" i="13"/>
  <c r="M435" i="13"/>
  <c r="M443" i="13"/>
  <c r="M455" i="13"/>
  <c r="M454" i="13"/>
  <c r="M425" i="13"/>
  <c r="M430" i="13"/>
  <c r="M431" i="13"/>
  <c r="M438" i="13"/>
  <c r="M439" i="13"/>
  <c r="M447" i="13"/>
  <c r="M446" i="13"/>
  <c r="M473" i="13"/>
  <c r="M477" i="13"/>
  <c r="M481" i="13"/>
  <c r="M485" i="13"/>
  <c r="M489" i="13"/>
  <c r="M505" i="13"/>
  <c r="M509" i="13"/>
  <c r="M513" i="13"/>
  <c r="M517" i="13"/>
  <c r="M530" i="13"/>
  <c r="M534" i="13"/>
  <c r="M538" i="13"/>
  <c r="M457" i="13"/>
  <c r="M492" i="13"/>
  <c r="M544" i="13"/>
  <c r="C3" i="9" l="1"/>
  <c r="G7" i="9"/>
  <c r="B3" i="9"/>
  <c r="D4" i="9"/>
  <c r="F5" i="9"/>
  <c r="H6" i="9"/>
  <c r="B4" i="9"/>
  <c r="D5" i="9"/>
  <c r="F6" i="9"/>
  <c r="B14" i="9"/>
  <c r="C4" i="9"/>
  <c r="E5" i="9"/>
  <c r="G6" i="9"/>
  <c r="C5" i="9"/>
  <c r="E4" i="9"/>
  <c r="F3" i="9"/>
  <c r="H4" i="9"/>
  <c r="D3" i="9"/>
  <c r="F4" i="9"/>
  <c r="H5" i="9"/>
  <c r="E3" i="9"/>
  <c r="G4" i="9"/>
  <c r="E6" i="9"/>
  <c r="G5" i="9"/>
  <c r="B13" i="9"/>
  <c r="H3" i="9"/>
  <c r="B55" i="9"/>
  <c r="B5" i="9"/>
  <c r="D6" i="9"/>
  <c r="B15" i="9"/>
  <c r="B6" i="9"/>
  <c r="B12" i="9"/>
  <c r="C6" i="9"/>
  <c r="E15" i="9" l="1"/>
  <c r="B16" i="9"/>
  <c r="G16" i="9" s="1"/>
  <c r="D15" i="9"/>
  <c r="C15" i="9"/>
  <c r="G13" i="9"/>
  <c r="F13" i="9"/>
  <c r="H13" i="9"/>
  <c r="B7" i="9"/>
  <c r="B50" i="9"/>
  <c r="B44" i="9"/>
  <c r="B48" i="9"/>
  <c r="B52" i="9"/>
  <c r="B46" i="9"/>
  <c r="B54" i="9"/>
  <c r="B56" i="9"/>
  <c r="C14" i="9"/>
  <c r="B49" i="9"/>
  <c r="H7" i="9"/>
  <c r="H12" i="9"/>
  <c r="E7" i="9"/>
  <c r="E16" i="9" s="1"/>
  <c r="E12" i="9"/>
  <c r="D7" i="9"/>
  <c r="D12" i="9"/>
  <c r="F12" i="9"/>
  <c r="F7" i="9"/>
  <c r="G15" i="9"/>
  <c r="F15" i="9"/>
  <c r="H15" i="9"/>
  <c r="B43" i="9"/>
  <c r="B51" i="9"/>
  <c r="B47" i="9"/>
  <c r="B53" i="9"/>
  <c r="E14" i="9"/>
  <c r="D14" i="9"/>
  <c r="F14" i="9"/>
  <c r="G12" i="9"/>
  <c r="G14" i="9"/>
  <c r="H14" i="9"/>
  <c r="E13" i="9"/>
  <c r="B45" i="9"/>
  <c r="C13" i="9"/>
  <c r="D13" i="9"/>
  <c r="C12" i="9"/>
  <c r="C7" i="9"/>
  <c r="B57" i="9"/>
  <c r="F16" i="9" l="1"/>
  <c r="C16" i="9"/>
  <c r="H16" i="9"/>
  <c r="D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4000000}">
      <text>
        <r>
          <rPr>
            <sz val="10"/>
            <color rgb="FF000000"/>
            <rFont val="Arial"/>
          </rPr>
          <t>1 if there is a github repo;
0 otherwise
	-Xuling Wang</t>
        </r>
      </text>
    </comment>
    <comment ref="E2" authorId="0" shapeId="0" xr:uid="{00000000-0006-0000-0100-000008000000}">
      <text>
        <r>
          <rPr>
            <sz val="10"/>
            <color rgb="FF000000"/>
            <rFont val="Arial"/>
          </rPr>
          <t>1.one row per dataset
2.use 'self-collected' if it's not a readily available dataset but it's based on real patient/medical sources
3.use 'simulated' if it's generated from a simulator
	-Xuling Wang</t>
        </r>
      </text>
    </comment>
    <comment ref="F2" authorId="0" shapeId="0" xr:uid="{00000000-0006-0000-0100-000007000000}">
      <text>
        <r>
          <rPr>
            <sz val="10"/>
            <color rgb="FF000000"/>
            <rFont val="Arial"/>
          </rPr>
          <t>1 if the dataset contains personal information;
0 otherwise (e.g. biomedical text database, medical images with markers only,  gene expression)
leave if blank if not sure
	-Xuling Wang</t>
        </r>
      </text>
    </comment>
    <comment ref="G2" authorId="0" shapeId="0" xr:uid="{00000000-0006-0000-0100-000006000000}">
      <text>
        <r>
          <rPr>
            <sz val="10"/>
            <color rgb="FF000000"/>
            <rFont val="Arial"/>
          </rPr>
          <t>0 if it is not publicly available;
1 if it is easy to tell that the dataset publicly available or accessible under DUA;
leave it blank if not sure
	-Xuling Wang</t>
        </r>
      </text>
    </comment>
    <comment ref="H2" authorId="0" shapeId="0" xr:uid="{00000000-0006-0000-0100-000003000000}">
      <text>
        <r>
          <rPr>
            <sz val="10"/>
            <color rgb="FF000000"/>
            <rFont val="Arial"/>
          </rPr>
          <t>Link/reference to the dataset if available
	-Xuling Wang</t>
        </r>
      </text>
    </comment>
    <comment ref="I2" authorId="0" shapeId="0" xr:uid="{00000000-0006-0000-0100-000005000000}">
      <text>
        <r>
          <rPr>
            <sz val="10"/>
            <color rgb="FF000000"/>
            <rFont val="Arial"/>
          </rPr>
          <t>If there are anything special for the dataset
	-Xuling Wang</t>
        </r>
      </text>
    </comment>
    <comment ref="J2" authorId="0" shapeId="0" xr:uid="{00000000-0006-0000-0100-000001000000}">
      <text>
        <r>
          <rPr>
            <sz val="10"/>
            <color rgb="FF000000"/>
            <rFont val="Arial"/>
          </rPr>
          <t>How much data actually gets fed into classifier? Post data-augmentation, if any happens.
	-Matthew McDermott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</rPr>
          <t>1 if the same model is tested on two sources of data;
0 otherwise
	-Xuling Wang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" authorId="0" shapeId="0" xr:uid="{00000000-0006-0000-0C00-000002000000}">
      <text>
        <r>
          <rPr>
            <sz val="10"/>
            <color rgb="FF000000"/>
            <rFont val="Arial"/>
          </rPr>
          <t>What to do for multi-domain fields?
	-Matthew McDermott</t>
        </r>
      </text>
    </comment>
    <comment ref="A192" authorId="0" shapeId="0" xr:uid="{00000000-0006-0000-0C00-000005000000}">
      <text>
        <r>
          <rPr>
            <sz val="10"/>
            <color rgb="FF000000"/>
            <rFont val="Arial"/>
          </rPr>
          <t>May have to reformat those with multiple datasets and add 0s to those columns where the answer is no
	-Matthew McDermott
Ya... that's the plan. I haven't done so.
	-Xuling Wang</t>
        </r>
      </text>
    </comment>
    <comment ref="A243" authorId="0" shapeId="0" xr:uid="{00000000-0006-0000-0C00-000004000000}">
      <text>
        <r>
          <rPr>
            <sz val="10"/>
            <color rgb="FF000000"/>
            <rFont val="Arial"/>
          </rPr>
          <t>Establishes new benchmarks and a dataset. May not be appropriate under this rubric?
	-Matthew McDermott</t>
        </r>
      </text>
    </comment>
    <comment ref="A283" authorId="0" shapeId="0" xr:uid="{00000000-0006-0000-0C00-000003000000}">
      <text>
        <r>
          <rPr>
            <sz val="10"/>
            <color rgb="FF000000"/>
            <rFont val="Arial"/>
          </rPr>
          <t>Ditto prior comment about benchmarks
	-Matthew McDermott</t>
        </r>
      </text>
    </comment>
    <comment ref="L552" authorId="0" shapeId="0" xr:uid="{00000000-0006-0000-0C00-000001000000}">
      <text>
        <r>
          <rPr>
            <sz val="10"/>
            <color rgb="FF000000"/>
            <rFont val="Arial"/>
          </rPr>
          <t>Make sure processes correctly.
	-Matthew McDermott</t>
        </r>
      </text>
    </comment>
  </commentList>
</comments>
</file>

<file path=xl/sharedStrings.xml><?xml version="1.0" encoding="utf-8"?>
<sst xmlns="http://schemas.openxmlformats.org/spreadsheetml/2006/main" count="3253" uniqueCount="1513">
  <si>
    <t>Number</t>
  </si>
  <si>
    <t>MIMIC-III v1.4</t>
  </si>
  <si>
    <t>Paper Name</t>
  </si>
  <si>
    <t>Link</t>
  </si>
  <si>
    <t>Where</t>
  </si>
  <si>
    <t>Dataset</t>
  </si>
  <si>
    <t>Technical Replicability</t>
  </si>
  <si>
    <t>Statistical Validity</t>
  </si>
  <si>
    <t>Name</t>
  </si>
  <si>
    <t>Domain</t>
  </si>
  <si>
    <t>Code Available (1/0)</t>
  </si>
  <si>
    <t>Public</t>
  </si>
  <si>
    <t>Patient Data</t>
  </si>
  <si>
    <t>Dataset Names</t>
  </si>
  <si>
    <t>Dataset Containing PHI or de-identified PHI</t>
  </si>
  <si>
    <t>Link/Ref</t>
  </si>
  <si>
    <t>Comment</t>
  </si>
  <si>
    <t>Variance/CI Reported</t>
  </si>
  <si>
    <t>Public Patient Data</t>
  </si>
  <si>
    <t>Code Release</t>
  </si>
  <si>
    <t>Other</t>
  </si>
  <si>
    <t>UK Biobank</t>
  </si>
  <si>
    <t>French national health insurance database (SNIIRAM)</t>
  </si>
  <si>
    <t>SEER Cancer data</t>
  </si>
  <si>
    <t>PRAEGNANT study network</t>
  </si>
  <si>
    <t>Clinical Antipsychotic Trials of Intervention Effectiveness (CATIE)</t>
  </si>
  <si>
    <t>Alzheimer’s Disease Neuroimaging Initiative (ADNI) study data</t>
  </si>
  <si>
    <t>Prediction of Cardiac Arrest from Physiological Signals in the Pediatric ICU</t>
  </si>
  <si>
    <t>General</t>
  </si>
  <si>
    <t>Breast Cancer</t>
  </si>
  <si>
    <t>mlhc2018</t>
  </si>
  <si>
    <t>Pediatric ICU at the Hospital for Sick Children in Toronto</t>
  </si>
  <si>
    <t>Boosted Trees for Risk Prognosis</t>
  </si>
  <si>
    <t>Meta-analysis Global Group in Chronic heart failure database
UK Biobank
United Network for Organ Sharing (UNOS) database</t>
  </si>
  <si>
    <t>Racial Disparities and Mistrust in End-of-Life Care</t>
  </si>
  <si>
    <t>https://github.com/wboag/eol-mistrust</t>
  </si>
  <si>
    <t>Sequential Pattern Analysis on Neurosurgical Simulation Data</t>
  </si>
  <si>
    <t>NeuroTouch simulation performance data</t>
  </si>
  <si>
    <t>Multi-task multiple kernel learning reveals relevant frequency bands for critical areas localization in focal epilepsy</t>
  </si>
  <si>
    <t>acquired at Ospedale Ca’ Granda Niguarda, Milan (Italy)</t>
  </si>
  <si>
    <t>Contextual Bandits for Adapting Treatment in a Mouse Model of de Novo Carcinogenesis</t>
  </si>
  <si>
    <t>http://proceedings.mlr.press/v85/durand18a/durand18a.pdf</t>
  </si>
  <si>
    <t>experiment</t>
  </si>
  <si>
    <t>Predicting Smoking Events with a Time-Varying Semi-Parametric Hawkes Process Model</t>
  </si>
  <si>
    <t>Modeling "Presentness" of Electronic Health Record Data to Improve Patient State Estimation</t>
  </si>
  <si>
    <t>a general pediatric intensive care unit (PICU)</t>
  </si>
  <si>
    <t>Learning to Summarize Electronic Health Records Using Cross-Modality Correspondences</t>
  </si>
  <si>
    <t>Towards Understanding ECG Rhythm Classification Using Convolutional Neural Networks and Attention Mappings</t>
  </si>
  <si>
    <t>2017 Physionet challenge</t>
  </si>
  <si>
    <t>https://github.com/Seb-Good/deepecg</t>
  </si>
  <si>
    <t>ML4H</t>
  </si>
  <si>
    <t>3D Point Cloud-Based Visual Prediction of ICU Mobility Care Activities</t>
  </si>
  <si>
    <t>collected in a clinician-guided simulation setting</t>
  </si>
  <si>
    <t>Reproducible Survival Prediction with SEER Cancer Data</t>
  </si>
  <si>
    <t>https://github.com/stefanhgm/MLHC2018-reproducible-survival-seer</t>
  </si>
  <si>
    <t>* a survey paper</t>
  </si>
  <si>
    <t>Bayesian Trees for Automated Cytometry Data Analysis</t>
  </si>
  <si>
    <t>acute myeloid leukemia (AML)
bone marrow mononuclear cells (BMMC)</t>
  </si>
  <si>
    <t>Disease-Atlas: Navigating Disease Trajectories using Deep Learning</t>
  </si>
  <si>
    <t>UK Cystic Fibrosis Trust</t>
  </si>
  <si>
    <t>Automated Treatment Planning in Radiation Therapy using Generative Adversarial Networks</t>
  </si>
  <si>
    <t>217 oropharyngeal cancer patients</t>
  </si>
  <si>
    <t>NLP</t>
  </si>
  <si>
    <t>https://github.com/rafidrm/gancer</t>
  </si>
  <si>
    <t>Representational Learning Approaches for ECG Dynamics to Detect False Arrhythmia Alarms</t>
  </si>
  <si>
    <t>MIT-BIH Arrhythmia Dataset
PhysioNet Challenge 2015 Dataset</t>
  </si>
  <si>
    <t>Deep Spine: Automated Lumbar Vertebral Segmentation, Disc-Level Designation, and Spinal Stenosis Grading Using Deep Learning</t>
  </si>
  <si>
    <t>acquired at Massachusetts General Hospital (MGH) Department of Radiology</t>
  </si>
  <si>
    <t>Integrating Hypertension Phenotype and Genotype with Hybrid Non-negative Matrix Factorization</t>
  </si>
  <si>
    <t>https://arxiv.org/abs/1805.05008</t>
  </si>
  <si>
    <t>Hypertension Genetic Epidemiology Network (HyperGEN) study</t>
  </si>
  <si>
    <t>Computer Vision-based Descriptive Analytics of Seniors' Daily Activities for Long-term Health Monitoring</t>
  </si>
  <si>
    <t>conduct this study in an assisted living facility for seniors</t>
  </si>
  <si>
    <t>Integrating Machine Learning and Optimization Methods for Imaging of Patients with Prostate Cancer</t>
  </si>
  <si>
    <t>CV</t>
  </si>
  <si>
    <t>from a large state-wide prostate cancer collaborative</t>
  </si>
  <si>
    <t>ConvSCCS: Convolutional Self-Controlled Case Series Model for Lagged Adverse Event Detection</t>
  </si>
  <si>
    <t>https://arxiv.org/pdf/1712.08243.pdf</t>
  </si>
  <si>
    <t>?</t>
  </si>
  <si>
    <t>French national health insurance database (SNIIRAM)
simulation dataset</t>
  </si>
  <si>
    <t>disclosed python library used</t>
  </si>
  <si>
    <t>Deep Survival Analysis: Nonparametrics and Missingness</t>
  </si>
  <si>
    <t>a large metropolitan hospital</t>
  </si>
  <si>
    <t>Learning to Exploit Invariances in Clinical Time-Series Data using Sequence Transformer Networks</t>
  </si>
  <si>
    <t>Learning from the experts: From diagnostic expert systems to machine learning diagnosis models</t>
  </si>
  <si>
    <t>Statistical Replicability</t>
  </si>
  <si>
    <t>from case simulator</t>
  </si>
  <si>
    <t>Purely Theoretical?</t>
  </si>
  <si>
    <t>Effective Use of Bidirectional Language Modeling for Medical Named Entity Recognition</t>
  </si>
  <si>
    <t>NCBI-disease
BC2GM
JNLPBA
BioCreative V Chemical Disease Relation Extraction (BC5CDR) task</t>
  </si>
  <si>
    <t>https://github.com/cambridgeltl/MTL-Bioinformatics-2016</t>
  </si>
  <si>
    <t>PHI &amp; Public</t>
  </si>
  <si>
    <t>Label-Aware Double Transfer Learning for Cross-Specialty Medical Named Entity Recognition</t>
  </si>
  <si>
    <t>NLP, ML4H</t>
  </si>
  <si>
    <t>https://aclanthology.info/papers/N18-1001/n18-1001</t>
  </si>
  <si>
    <t>A Domain Guided CNN Architecture for Predicting Age from Structural Brain Images</t>
  </si>
  <si>
    <t>Philadelphia Neurodevelopmental Cohort (PNC) study</t>
  </si>
  <si>
    <t>https://gitlab.eecs.umich.edu/mld3/brain_age_prediction</t>
  </si>
  <si>
    <t>WeiboNER</t>
  </si>
  <si>
    <t>Phenotyping Endometriosis through Mixed Membership Models of Self-Tracking Data</t>
  </si>
  <si>
    <t>https://static1.squarespace.com/static/59d5ac1780bd5ef9c396eda6/t/5b73739b40ec9a45a95436a1/1534292893333/27.pdf</t>
  </si>
  <si>
    <t>https://aclanthology.info/papers/N18-1001/n18-1002</t>
  </si>
  <si>
    <t>SighanNER</t>
  </si>
  <si>
    <t>https://aclanthology.info/papers/N18-1001/n18-1003</t>
  </si>
  <si>
    <t>TwitterNER</t>
  </si>
  <si>
    <t>https://aclanthology.info/papers/N18-1001/n18-1004</t>
  </si>
  <si>
    <t>CoNLL 2003 English NER</t>
  </si>
  <si>
    <t>recruited participants</t>
  </si>
  <si>
    <t>https://aclanthology.info/papers/N18-1001/n18-1005</t>
  </si>
  <si>
    <t>Preference Learning in Assistive Robotics: Observational Repeated Inverse Reinforcement Learning</t>
  </si>
  <si>
    <t>Chinese medical NER</t>
  </si>
  <si>
    <t>self-collected</t>
  </si>
  <si>
    <t>Self-collected</t>
  </si>
  <si>
    <t>Reinforcement Learning with Action-Derived Rewards for Chemotherapy and Clinical Trial Dosing Regimen Selection</t>
  </si>
  <si>
    <t>PHI</t>
  </si>
  <si>
    <t>50 simulated patients</t>
  </si>
  <si>
    <t>Multi-Label Learning from Medical Plain Text with Convolutional Residual Models</t>
  </si>
  <si>
    <t>a real EHR cohort collected from patients at Duke Hospital</t>
  </si>
  <si>
    <t>Chronic Disease Prediction Using Medical Notes</t>
  </si>
  <si>
    <t>NYU Langone Hospital EHR system</t>
  </si>
  <si>
    <t>Meta-analysis Global Group in Chronic heart failure database</t>
  </si>
  <si>
    <t>https://github.com/NYUMedML/DeepEHR</t>
  </si>
  <si>
    <t>*contains code for generating synthetic data</t>
  </si>
  <si>
    <t>Piecewise-constant parametric approximations for survival learning:</t>
  </si>
  <si>
    <t>mlhc2017</t>
  </si>
  <si>
    <t>Spatially-Continuous Plantar Pressure Reconstruction Using Compressive Sensing</t>
  </si>
  <si>
    <t>United Network for Organ Sharing (UNOS) database</t>
  </si>
  <si>
    <t>simulated data</t>
  </si>
  <si>
    <t>Classifying Lung Cancer Severity with Ensemble Machine Learning in Health Care Claims Data:</t>
  </si>
  <si>
    <t>ADNI</t>
  </si>
  <si>
    <t>SEER registry data with the Medical Provider Analysis and Review</t>
  </si>
  <si>
    <t>Predicting long-term mortality with first week post-operative data after Coronary Artery Bypass Grafting using Machine Learning model</t>
  </si>
  <si>
    <t>Cardiothoracic Anesthesiology Registry (CAROLA)</t>
  </si>
  <si>
    <t>ShortFuse: Biomedical Time Series Representations in the Presence of Structured Information:</t>
  </si>
  <si>
    <t>1926 patients collected as part of the Osteoarthritis Initiative (OAI)</t>
  </si>
  <si>
    <t>Towards Vision-based Smart Hospitals: A System for Tracking and Monitoring Hand Hygiene Compliance</t>
  </si>
  <si>
    <t>collected from two hospitals</t>
  </si>
  <si>
    <t>Surgeon Technical Skill Assessment using Computer Vision based Analysis</t>
  </si>
  <si>
    <t>Predicting Surgery Duration with Neural Heteroscedastic Regression:</t>
  </si>
  <si>
    <t>patient records extracted from the EHR system of the University of California, San Diego Health System</t>
  </si>
  <si>
    <t>Temporal prediction of multiple sclerosis evolution from patient-centered outcomes</t>
  </si>
  <si>
    <t>Digital Database for Screening of Mammography (DDSM)</t>
  </si>
  <si>
    <t>PCO data set acquired from a cohort of PwMS progressively enrolled within an ongoing funded project</t>
  </si>
  <si>
    <t>Clustering Patients with Tensor Decomposition</t>
  </si>
  <si>
    <t>a real-world EHR</t>
  </si>
  <si>
    <t>Continuous State-Space Models for Optimal Sepsis Treatment - a Deep Reinforcement Learning Approach:</t>
  </si>
  <si>
    <t>Modeling Progression Free Survival in Breast Cancer with Tensorized Recurrent Neural Networks and Accelerated Failure Time Model</t>
  </si>
  <si>
    <t>Patient Similarity Using Population Statistics and Multiple Kernel Learning</t>
  </si>
  <si>
    <t>acute myeloid leukemia (AML)</t>
  </si>
  <si>
    <t>American College of Surgeons’ NSQIP</t>
  </si>
  <si>
    <t>eResearch Institute</t>
  </si>
  <si>
    <t>A Video-Based Method for Automatically Rating Ataxia</t>
  </si>
  <si>
    <t>bone marrow mononuclear cells (BMMC)</t>
  </si>
  <si>
    <t>Precision Medicine Vocabulary (PMV)</t>
  </si>
  <si>
    <t>The BARS Dataset</t>
  </si>
  <si>
    <t>Visualizing Clinical Significance with Prediction and Tolerance Regions:</t>
  </si>
  <si>
    <t>Cerner HealthFacts database</t>
  </si>
  <si>
    <t>Predictive Hierarchical Clustering: Learning clusters of CPT codes for improving surgical outcomes</t>
  </si>
  <si>
    <t>MIT-BIH Arrhythmia Dataset</t>
  </si>
  <si>
    <t>GoViral</t>
  </si>
  <si>
    <t>PhysioNet Challenge 2015 Dataset</t>
  </si>
  <si>
    <t>simulate data
American College of Surgeons’ NSQIP</t>
  </si>
  <si>
    <t>An Improved Multi-Output Gaussian Process RNN with Real-Time Validation for Early Sepsis Detection</t>
  </si>
  <si>
    <t>FluWatch</t>
  </si>
  <si>
    <t>university health system spanning 18 months, extracted directly from our Epic EHR</t>
  </si>
  <si>
    <t>https://github.com/jfutoma/MGP-RNN</t>
  </si>
  <si>
    <t>Hong Kong</t>
  </si>
  <si>
    <t>Marked Point Process for Severity of Illness Assessment</t>
  </si>
  <si>
    <t>MIMIC-III v1.4
acquired at a tertiary pediatric intensive care unit</t>
  </si>
  <si>
    <t>Hutterite</t>
  </si>
  <si>
    <t>Diagnostic Inferencing via Improving Clinical Concept Extraction with Deep Reinforcement Learning: A Preliminary Study</t>
  </si>
  <si>
    <t>2015 TREC CDS track dataset</t>
  </si>
  <si>
    <t>Generating Multi-label Discrete Patient Records using Generative Adversarial Networks:</t>
  </si>
  <si>
    <t>three distinct EHR datasets, one of them is MIMIC</t>
  </si>
  <si>
    <t>https://github.com/mp2893/medgan</t>
  </si>
  <si>
    <t>Oakden Ryder Radiological Hip Fracture Dataset</t>
  </si>
  <si>
    <t>Quantifying Mental Health from Social Media using Learned User Embeddings:</t>
  </si>
  <si>
    <t>Simulated Data</t>
  </si>
  <si>
    <t>CLPsych shared task data</t>
  </si>
  <si>
    <t>https://github.com/samiroid/usr2vec</t>
  </si>
  <si>
    <t>Clinical Intervention Prediction and Understanding using Deep Networks</t>
  </si>
  <si>
    <t>Flatiron Health database</t>
  </si>
  <si>
    <t>Understanding Coagulopathy using Multi-view Data in the Presence of Sub-Cohorts: A Hierarchical Subspace Approach</t>
  </si>
  <si>
    <t>Project CLEAR</t>
  </si>
  <si>
    <t>colllected from hospital</t>
  </si>
  <si>
    <t>Towards a directory of rare disease specialists: Identifying experts from publication history</t>
  </si>
  <si>
    <t>positive disease-expert associations from GeneReviews publications were combined with the unlabeled disease-author associations from OMIM</t>
  </si>
  <si>
    <t>Healthy Aging Picture Description(HAPD)</t>
  </si>
  <si>
    <t>https://github.com/AvinWangZH/RareDiseaseExpertIdentification</t>
  </si>
  <si>
    <t>Reproducibility in critical care: a mortality prediction case study:</t>
  </si>
  <si>
    <t>Healthy Aging Fluency &amp; Paragraph tasks(HAFP)</t>
  </si>
  <si>
    <t>simulation dataset</t>
  </si>
  <si>
    <t>https://github.com/alistairewj/reproducibility-mimic</t>
  </si>
  <si>
    <t>Famous People</t>
  </si>
  <si>
    <t>Predicting Infant Motor Development Status using Day Long Movement Data from Wearable Sensors</t>
  </si>
  <si>
    <t>The Photo Tourism dataset</t>
  </si>
  <si>
    <t>kdd2018</t>
  </si>
  <si>
    <t>acquired from lab</t>
  </si>
  <si>
    <t>Interpretable Patient Mortality Prediction with Multi-value Rule Sets</t>
  </si>
  <si>
    <t>real-world dataset from Nationwide Inpatient Sample</t>
  </si>
  <si>
    <t>https://github.com/wangtongada/MARS/blob/master/MARS.py</t>
  </si>
  <si>
    <t>MIMIC-III</t>
  </si>
  <si>
    <t>Forecasting Disease Trajectories in Alzheimer's Disease Using Deep Learning</t>
  </si>
  <si>
    <t>PIVETed-Granite: Computational Phenotypes through Constrained Tensor Factorization</t>
  </si>
  <si>
    <t>NCBI-diseas</t>
  </si>
  <si>
    <t>Synthetic Derivative (SD), a de-identified EHR database gathered at the VUMC</t>
  </si>
  <si>
    <t>*check this</t>
  </si>
  <si>
    <t>Mapping Unparalleled Clinical Professional and Consumer Languages with Embedding Alignment</t>
  </si>
  <si>
    <t>BC2GM</t>
  </si>
  <si>
    <t>JNLPBA</t>
  </si>
  <si>
    <t>Ensemble learning with Conformal Predictors: Targeting credible predictions of conversion from Mild Cognitive Impairment to Alzheimer’s Disease</t>
  </si>
  <si>
    <t>BioCreative V Chemical Disease Relation Extraction (BC5CDR) task</t>
  </si>
  <si>
    <t>study conducted at the Faculty of Medicine of Lisbon</t>
  </si>
  <si>
    <t>Multi-Task Learning with Incomplete Data for Healthcare</t>
  </si>
  <si>
    <t>Alzheimer’s disease data from ADNI</t>
  </si>
  <si>
    <t>Mammography Dual View Mass Correspondence</t>
  </si>
  <si>
    <t>The Photo Tourism dataset
The Digital Database
for Screening Mammography (DDSM)
The In-house dataset</t>
  </si>
  <si>
    <t>Transfer Learning for Clinical Time Series Analysis using Recurrent Neural Networks</t>
  </si>
  <si>
    <t>YouTube for Patient Education: A Deep Learning Approach for Understanding Medical Knowledge from User-Generated Videos</t>
  </si>
  <si>
    <t>YouTube Videos</t>
  </si>
  <si>
    <t>Recognising Cardiac Abnormalities in Wearable Device Photoplethysmography (PPG) with Deep Learning</t>
  </si>
  <si>
    <t>acquired patients data</t>
  </si>
  <si>
    <t>Online Heart Rate Prediction using Acceleration from a Wrist Worn Wearable</t>
  </si>
  <si>
    <t>A hybrid deep learning approach for medical relation extraction</t>
  </si>
  <si>
    <t>a subset of i2b22010 challenge</t>
  </si>
  <si>
    <t>public</t>
  </si>
  <si>
    <t>Building a Controlled Vocabulary for Standardizing Precision Medicine Terms</t>
  </si>
  <si>
    <t>Measuring the quality of Synthetic data for use in competitions</t>
  </si>
  <si>
    <t>https://github.com/jsyoon0823/SRA_TSTR</t>
  </si>
  <si>
    <t>check this - on synthetic data</t>
  </si>
  <si>
    <t>Generating Synthetic but Plausible Healthcare Record Datasets</t>
  </si>
  <si>
    <t>MIMIC-III
Hospital de la Santa Creu i Sant Pau in Barcelona</t>
  </si>
  <si>
    <t>https://github.com/mruffini/NaiveBayesClustering
https://github.com/mp2893/medgan</t>
  </si>
  <si>
    <t>Mammography Assessment using Multi-Scale Deep Classifiers</t>
  </si>
  <si>
    <t>Synthetic Sampling for Multi-Class Malignancy Prediction</t>
  </si>
  <si>
    <t>NIH/NCI Lung Image Database Consortium (LIDC)</t>
  </si>
  <si>
    <t>PGLasso: Microbial Community Detection through Phylogenetic Graphical Lasso</t>
  </si>
  <si>
    <t>metagenomic data generated by the next-generation sequencing (NGS)</t>
  </si>
  <si>
    <t>Murmur Detection Using Parallel Recurrent &amp; Convolutional Neural Networks</t>
  </si>
  <si>
    <t>Heart Sound &amp; Murmur Library 
Classifying Heart Sounds Challenge
Physionet Challenge’ 2016 dataset</t>
  </si>
  <si>
    <t>From Text to Topics in Healthcare Records: An Unsupervised Graph Partitioning Methodology</t>
  </si>
  <si>
    <t>incident reports from Imperial College Healthcare NHS Trust, London</t>
  </si>
  <si>
    <t>Measuring Depression Symptom Severity from Spoken Language and 3D Facial Expressions</t>
  </si>
  <si>
    <t>https://arxiv.org/abs/1811.08592</t>
  </si>
  <si>
    <t>ml4h2018</t>
  </si>
  <si>
    <t>http://dcapswoz.ict.usc.edu/</t>
  </si>
  <si>
    <t>* Psychiatry, face scans and speech samples. Code not released but used public code for core repos.</t>
  </si>
  <si>
    <t>What is Interpretable? Using Machine Learning to Design Interpretable Decision-Support Systems</t>
  </si>
  <si>
    <t>https://arxiv.org/abs/1811.10799</t>
  </si>
  <si>
    <t>Natural language understanding for task oriented dialog in the biomedical domain in a low resources context</t>
  </si>
  <si>
    <t>https://arxiv.org/abs/1811.09417</t>
  </si>
  <si>
    <t>study conducteed at French university hospital</t>
  </si>
  <si>
    <t>Clinical Concept Extraction with Contextual Word Embedding</t>
  </si>
  <si>
    <t>https://arxiv.org/abs/1810.10566</t>
  </si>
  <si>
    <t>i2b2 2010 challenge dataset</t>
  </si>
  <si>
    <t>https://github.com/noc-lab/clinical_concept_extraction</t>
  </si>
  <si>
    <t>MATCH-Net: Dynamic Prediction in Survival Analysis using Convolutional Neural Networks</t>
  </si>
  <si>
    <t>https://arxiv.org/abs/1811.10746</t>
  </si>
  <si>
    <t>Disease phenotyping using deep learning: A diabetes case study</t>
  </si>
  <si>
    <t>https://arxiv.org/abs/1811.11818</t>
  </si>
  <si>
    <t>Dataset is accessible to memebers of USC community</t>
  </si>
  <si>
    <t>Glottal Closure Instants Detection From Pathological Acoustic Speech Signal Using Deep Learning</t>
  </si>
  <si>
    <t>https://arxiv.org/pdf/1811.09956.pdf</t>
  </si>
  <si>
    <t>Self-collected, B. C. Roy Technology Hospital,
Indian Institute of Technology Kharagpur, India</t>
  </si>
  <si>
    <t>Model-Based Reinforcement Learning for Sepsis Treatment</t>
  </si>
  <si>
    <t>https://arxiv.org/abs/1811.09602</t>
  </si>
  <si>
    <t>Patchnet: Interpretable Neural Networks for Image Classification</t>
  </si>
  <si>
    <t>https://arxiv.org/abs/1705.08078</t>
  </si>
  <si>
    <t>ISBI-ISIC 2017 melanoma classification challenge</t>
  </si>
  <si>
    <t>Large-scale Generative Modeling to Improve Automated Veterinary Disease Coding</t>
  </si>
  <si>
    <t>https://arxiv.org/abs/1811.11958</t>
  </si>
  <si>
    <t>Self collected: Colorado State University College of Veterinary Medicine, discharge summaries from norcal, SAGE centers for veterinary medicine</t>
  </si>
  <si>
    <t>Group induced graphical lasso allows for discovery of molecular pathways-pathways interactions</t>
  </si>
  <si>
    <t>https://arxiv.org/abs/1811.09673</t>
  </si>
  <si>
    <t>https://portal.gdc.cancer.gov/projects/TARGET-NBL</t>
  </si>
  <si>
    <t>A Framework for Implementing Machine Learning on Omics Data</t>
  </si>
  <si>
    <t>https://arxiv.org/abs/1811.10455</t>
  </si>
  <si>
    <t>METABRIC microarray, TCGA microarray, TCGA RNA-seq.</t>
  </si>
  <si>
    <t>ccg.ai</t>
  </si>
  <si>
    <t>Population-aware Hierarchical Bayesian Domain Adaptation</t>
  </si>
  <si>
    <t>https://arxiv.org/pdf/1811.08579.pdf</t>
  </si>
  <si>
    <t>GoViral, FluWatch, Hong Kong, Hutterite</t>
  </si>
  <si>
    <t>I don't think this data is public but can't be sure.</t>
  </si>
  <si>
    <t>Modeling Irregularly Sampled Clinical Time Series</t>
  </si>
  <si>
    <t>https://arxiv.org/abs/1812.00531</t>
  </si>
  <si>
    <t>Dynamic Measurement Scheduling for Adverse Event Forecasting using Deep RL</t>
  </si>
  <si>
    <t>https://arxiv.org/abs/1812.00268</t>
  </si>
  <si>
    <t>Privacy-Preserving Action Recognition for Smart Hospitals using Low-Resolution Depth Images</t>
  </si>
  <si>
    <t>https://arxiv.org/abs/1811.09950</t>
  </si>
  <si>
    <t>Classifying Heart Sounds Challenge</t>
  </si>
  <si>
    <t>self-collected hand hygeine detection, ICU activity logging, and RGB Images</t>
  </si>
  <si>
    <t>Fast Learning-based Registration of Sparse Clinical Images</t>
  </si>
  <si>
    <t>https://arxiv.org/pdf/1812.06932.pdf</t>
  </si>
  <si>
    <t>self-collected stroke dataset (3D MRI Scans)</t>
  </si>
  <si>
    <t>voxelmorph.mit.edu</t>
  </si>
  <si>
    <t>Improving Clinical Predictions through Unsupervised Time Series Representation Learning</t>
  </si>
  <si>
    <t>https://arxiv.org/abs/1812.00490</t>
  </si>
  <si>
    <t>eICU</t>
  </si>
  <si>
    <t>Feature Selection Based on Unique Relevant Information for Health Data</t>
  </si>
  <si>
    <t>https://arxiv.org/abs/1812.00415</t>
  </si>
  <si>
    <t>Z-Alizadeh Sani, Breast Cancer, SPECTF Heart, Arrhythmia, EEG, Heart Disease</t>
  </si>
  <si>
    <t>A Hybrid Instance-based Transfer Learning Method</t>
  </si>
  <si>
    <t>https://arxiv.org/abs/1812.01063</t>
  </si>
  <si>
    <t>e-icu</t>
  </si>
  <si>
    <t>LFPW, Helen, CK+, iBUG, and AFW, UNBC-McMaster
Shoulder Pain Expression Archive</t>
  </si>
  <si>
    <t>Multiple Instance Learning for ECG Risk Stratification</t>
  </si>
  <si>
    <t>https://arxiv.org/abs/1812.00475</t>
  </si>
  <si>
    <t>MERLIN-TIMI (http://www.timi.org/index.php?page=merlin-timi-36)</t>
  </si>
  <si>
    <t>Measuring the Stability of EHR- and EKG-based Predictive Models</t>
  </si>
  <si>
    <t>https://arxiv.org/abs/1812.00210</t>
  </si>
  <si>
    <t>self-collected ED cohort data</t>
  </si>
  <si>
    <t>Effective, Fast, and Memory-Efficient Compressed Multi-function Convolutional Neural Networks for More Accurate Medical Image Classification</t>
  </si>
  <si>
    <t>https://arxiv.org/abs/1811.11996</t>
  </si>
  <si>
    <t>OASIS Brains Datasets</t>
  </si>
  <si>
    <t>Learning Global Additive Explanations for Neural Nets Using Model Distillation</t>
  </si>
  <si>
    <t>https://arxiv.org/abs/1801.08640</t>
  </si>
  <si>
    <t>two UCI data sets (Bikeshare and Magic), a Loan risk scoring data set from an online lending company [27], the 2018 FICO Explainable ML Challenge’s credit data set [14], and the pneumonia data set analyzed by [8].</t>
  </si>
  <si>
    <t>Towards generative adversarial networks as a new paradigm for radiology education</t>
  </si>
  <si>
    <t>https://arxiv.org/abs/1812.01547</t>
  </si>
  <si>
    <t>METABRIC microarray</t>
  </si>
  <si>
    <t>https://arxiv.org/pdf/1711.06504.pdf</t>
  </si>
  <si>
    <t>TCGA microarray</t>
  </si>
  <si>
    <t>simulate data</t>
  </si>
  <si>
    <t>TCGA RNA-seq</t>
  </si>
  <si>
    <t>Z-Alizadeh Sani</t>
  </si>
  <si>
    <t>https://www.facs.org/quality-programs/about/cqi/internetresources/databases</t>
  </si>
  <si>
    <t>can be purchased</t>
  </si>
  <si>
    <t>SPECTF Heart</t>
  </si>
  <si>
    <t>Arrhythmia</t>
  </si>
  <si>
    <t>Heart Disease</t>
  </si>
  <si>
    <t>LFPW</t>
  </si>
  <si>
    <t>acquired at a tertiary pediatric intensive care unit</t>
  </si>
  <si>
    <t>Helen</t>
  </si>
  <si>
    <t>CK+</t>
  </si>
  <si>
    <t>iBUG</t>
  </si>
  <si>
    <t>self-collected EHR</t>
  </si>
  <si>
    <t>AFW</t>
  </si>
  <si>
    <t>UNBC-McMaster Shoulder Pain Expression Archive</t>
  </si>
  <si>
    <t>UCI data sets - Bikeshare</t>
  </si>
  <si>
    <t>UCI data sets (Magic)</t>
  </si>
  <si>
    <t>a Loan risk scoring data set from an online lending company</t>
  </si>
  <si>
    <t>the 2018 FICO Explainable ML Challenge’s credit data set</t>
  </si>
  <si>
    <t>pneumonia data set</t>
  </si>
  <si>
    <t>GWAS summary association statistics</t>
  </si>
  <si>
    <t>Dermnet SkinDisease Atlas</t>
  </si>
  <si>
    <t>MNIST</t>
  </si>
  <si>
    <t>Camelyon 2016 challenge dataset</t>
  </si>
  <si>
    <t>the PhysioNet polysomnography dataset</t>
  </si>
  <si>
    <t>PTB Diagnostic ECG Database</t>
  </si>
  <si>
    <t>Framingham Heart Study (FHS)</t>
  </si>
  <si>
    <t>MEDLINE</t>
  </si>
  <si>
    <t>Predicting Language Outcome RecoveryAfter Stroke (PLORAS) database</t>
  </si>
  <si>
    <t>Dementia Bank</t>
  </si>
  <si>
    <t>BindingDB</t>
  </si>
  <si>
    <t>PanCancer Analysis of Whole Genomes dataset (PCAWG)</t>
  </si>
  <si>
    <t>The In-house dataset</t>
  </si>
  <si>
    <t>PsychENCODE dataset</t>
  </si>
  <si>
    <t>K562 Cell Image Dataset</t>
  </si>
  <si>
    <t>Hospital de la Santa Creu i Sant Pau in Barcelona</t>
  </si>
  <si>
    <t>Code Available</t>
  </si>
  <si>
    <t>Multiple Dataset</t>
  </si>
  <si>
    <t>Public PHI</t>
  </si>
  <si>
    <t>Theoretical</t>
  </si>
  <si>
    <t>https://www.hmpdacc.org/HMASM/</t>
  </si>
  <si>
    <t xml:space="preserve">Heart Sound &amp; Murmur Library </t>
  </si>
  <si>
    <t>Physionet Challenge’ 2016 dataset</t>
  </si>
  <si>
    <t>https://report.nrls.nhs.uk/nrlsreporting/</t>
  </si>
  <si>
    <t>EEG</t>
  </si>
  <si>
    <t xml:space="preserve"> https://arxiv.org/pdf/1711.06504.pdf</t>
  </si>
  <si>
    <t>Automatic Documentation of ICD Codes with Far-Field Speech Recognition</t>
  </si>
  <si>
    <t>Distinguishing correlation from causation using genome-wide association studies</t>
  </si>
  <si>
    <t>Prototypical Clustering Networks for Dermatological Disease Diagnosis</t>
  </si>
  <si>
    <t>https://arxiv.org/abs/1811.03066</t>
  </si>
  <si>
    <t>http://www.dermnet.com/</t>
  </si>
  <si>
    <t>Disease Detection in Weakly Annotated Volumetric Medical Images using a Convolutional LSTM Network</t>
  </si>
  <si>
    <t>CT volumes from 6648 unique participants enrolled in the NationalLung Screening Trial (NLST)</t>
  </si>
  <si>
    <t>https://wiki.cancerimagingarchive.net/display/NLST/National+Lung+Screening+Trial</t>
  </si>
  <si>
    <t>Cluster-Based Learning from Weakly Labeled Bags in Digital Pathology</t>
  </si>
  <si>
    <t>Estimation of Individual Treatment Effect in Latent Confounder Models via Adversarial Learning</t>
  </si>
  <si>
    <t xml:space="preserve">semi-synthetic dataset (TWINS) </t>
  </si>
  <si>
    <t>Unsupervised learning with contrastive latent variable models</t>
  </si>
  <si>
    <t>https://arxiv.org/abs/1811.06094</t>
  </si>
  <si>
    <t>dataset of mice protein expression levels</t>
  </si>
  <si>
    <t>Predicting pregnancy using large-scale data from a women's health tracking mobile application</t>
  </si>
  <si>
    <t>https://arxiv.org/abs/1812.02222</t>
  </si>
  <si>
    <t>data from the Clue women’s health tracking app</t>
  </si>
  <si>
    <t>DeepSPINE: automated lumbar spinal stenosis grading using deep learning</t>
  </si>
  <si>
    <t>https://arxiv.org/abs/1807.10215</t>
  </si>
  <si>
    <t>collected at hospital</t>
  </si>
  <si>
    <t>Compensated Integrated Gradients to Reliably Interpret EEG Classification</t>
  </si>
  <si>
    <t>UCI EEG dataset</t>
  </si>
  <si>
    <t xml:space="preserve">CHB-MIT Scalp EEG dataset </t>
  </si>
  <si>
    <t>Deep Ensemble Tensor Factorization for Longitudinal Patient Trajectories Classification</t>
  </si>
  <si>
    <t>TIFTI: A Framework for Extracting Drug Intervals from Longitudinal Clinic Notes</t>
  </si>
  <si>
    <t>Automatic Diagnosis of Short-Duration 12-Lead ECG using Deep Convolutional Network</t>
  </si>
  <si>
    <t>ECG recordings from Brazil</t>
  </si>
  <si>
    <t>A Bayesian model of acquisition and clearance of bacterial colonization</t>
  </si>
  <si>
    <t>A Probabilistic Model of Cardiac Physiology and Electrocardiograms</t>
  </si>
  <si>
    <t>Automated Radiation Therapy Treatment Planning using 3-D Generative Adversarial Networks</t>
  </si>
  <si>
    <t>https://arxiv.org/abs/1807.06489</t>
  </si>
  <si>
    <t>collected</t>
  </si>
  <si>
    <t>Imputation of Clinical Covariates in Time Series</t>
  </si>
  <si>
    <t>https://www.framinghamheartstudy.org/fhs-for-researchers/research-application-overview/</t>
  </si>
  <si>
    <t>Advancing PICO Element Detection in Medical Text via Deep Neural Networks</t>
  </si>
  <si>
    <t>https://arxiv.org/abs/1810.12780</t>
  </si>
  <si>
    <t>Time Aggregation and Model Interpretation for Deep Multivariate Longitudinal Patient Outcome Forecasting Systems in Chronic Ambulatory Care</t>
  </si>
  <si>
    <t>EHR from two hospitals</t>
  </si>
  <si>
    <t>ProstateGAN: Mitigating Data Bias via Prostate Diffusion Imaging Synthesis with Generative Adversarial Networks</t>
  </si>
  <si>
    <t>Predicting Language Recovery after Stroke with Convolutional Networks on Stitched MRI</t>
  </si>
  <si>
    <t>https://www.ucl.ac.uk/ploras/</t>
  </si>
  <si>
    <t>The Effect of Heterogeneous Data for Alzheimer's Disease Detection from Speech</t>
  </si>
  <si>
    <t>Corresponding Projections for Orphan Screening</t>
  </si>
  <si>
    <t>Deep Learning with Attention to Predict Gestational Age of the Fetal Brain</t>
  </si>
  <si>
    <t>https://arxiv.org/abs/1812.07102</t>
  </si>
  <si>
    <t>collected MRI</t>
  </si>
  <si>
    <t>Rank Projection Trees for Multilevel Neural Network Interpretation</t>
  </si>
  <si>
    <t>Using permutations to assess confounding in machine learning applications for digital health</t>
  </si>
  <si>
    <t>Robustness against the channel effect in pathological voice detection</t>
  </si>
  <si>
    <t>Learning to Unlearn: Building Immunity to Dataset Bias in Medical Imaging Studies</t>
  </si>
  <si>
    <t>https://arxiv.org/abs/1812.01716</t>
  </si>
  <si>
    <t xml:space="preserve">AustralianImaging, Biomarker and Lifestyle Flagship Study of Aging (AIBL) </t>
  </si>
  <si>
    <t>Modeling the Biological Pathology Continuum with HSIC-regularized Wasserstein Auto-encoders</t>
  </si>
  <si>
    <t>https://arxiv.org/abs/1901.06618</t>
  </si>
  <si>
    <t>LIDC-IDRI dataset</t>
  </si>
  <si>
    <t>Unsupervised Multimodal Representation Learning across Medical Images and Reports</t>
  </si>
  <si>
    <t>Deep Sequence Modeling for Hemorrhage Diagnosis</t>
  </si>
  <si>
    <t>Unsupervised Pseudo-Labeling for Extractive Summarization on Electronic Health Records</t>
  </si>
  <si>
    <t>https://arxiv.org/abs/1811.08040</t>
  </si>
  <si>
    <t>Count</t>
  </si>
  <si>
    <t>Total Count</t>
  </si>
  <si>
    <t>Total</t>
  </si>
  <si>
    <t xml:space="preserve"> </t>
  </si>
  <si>
    <t>Percent</t>
  </si>
  <si>
    <t>All</t>
  </si>
  <si>
    <t>Random ID</t>
  </si>
  <si>
    <t>Done?</t>
  </si>
  <si>
    <t>http://openaccess.thecvf.com/content_cvpr_2018/html/Agudo_Image_Collection_Pop-Up_CVPR_2018_paper.html</t>
  </si>
  <si>
    <t>http://openaccess.thecvf.com/content_cvpr_2018/html/Rupprecht_Guide_Me_Interacting_CVPR_2018_paper.html</t>
  </si>
  <si>
    <t>http://openaccess.thecvf.com/content_cvpr_2018/html/Madsen_Probabilistic_Joint_Face-Skull_CVPR_2018_paper.html</t>
  </si>
  <si>
    <t>http://openaccess.thecvf.com/content_cvpr_2018/html/Kalayeh_Human_Semantic_Parsing_CVPR_2018_paper.html</t>
  </si>
  <si>
    <t>http://openaccess.thecvf.com/content_cvpr_2018/html/Noh_Improving_Occlusion_and_CVPR_2018_paper.html</t>
  </si>
  <si>
    <t>http://openaccess.thecvf.com/content_cvpr_2018/html/Hong_pOSE_Pseudo_Object_CVPR_2018_paper.html</t>
  </si>
  <si>
    <t>http://openaccess.thecvf.com/content_cvpr_2018/html/Liu_SSNet_Scale_Selection_CVPR_2018_paper.html</t>
  </si>
  <si>
    <t>http://openaccess.thecvf.com/content_cvpr_2018/html/Kozerawski_CLEAR_Cumulative_LEARning_CVPR_2018_paper.html</t>
  </si>
  <si>
    <t>http://openaccess.thecvf.com/content_cvpr_2018/html/Paschalidou_RayNet_Learning_Volumetric_CVPR_2018_paper.html</t>
  </si>
  <si>
    <t>http://openaccess.thecvf.com/content_cvpr_2018/html/Xie_Environment_Upgrade_Reinforcement_CVPR_2018_paper.html</t>
  </si>
  <si>
    <t>http://openaccess.thecvf.com/content_cvpr_2018/html/Li_Low-Latency_Video_Semantic_CVPR_2018_paper.html</t>
  </si>
  <si>
    <t>http://openaccess.thecvf.com/content_cvpr_2018/html/Yu_An_Efficient_and_CVPR_2018_paper.html</t>
  </si>
  <si>
    <t>http://openaccess.thecvf.com/content_cvpr_2018/html/Li_Learning_Spatial-Temporal_Regularized_CVPR_2018_paper.html</t>
  </si>
  <si>
    <t>http://openaccess.thecvf.com/content_cvpr_2018/html/Islam_Revisiting_Salient_Object_CVPR_2018_paper.html</t>
  </si>
  <si>
    <t>http://openaccess.thecvf.com/content_cvpr_2018/html/Liu_Learning_Deep_Models_CVPR_2018_paper.html</t>
  </si>
  <si>
    <t>http://openaccess.thecvf.com/content_cvpr_2018/html/Zanfir_Human_Appearance_Transfer_CVPR_2018_paper.html</t>
  </si>
  <si>
    <t>http://openaccess.thecvf.com/content_cvpr_2018/html/Dong_Style_Aggregated_Network_CVPR_2018_paper.html</t>
  </si>
  <si>
    <t>http://openaccess.thecvf.com/content_cvpr_2018/html/Mohapatra_Efficient_Optimization_for_CVPR_2018_paper.html</t>
  </si>
  <si>
    <t>http://openaccess.thecvf.com/content_cvpr_2018/html/Wang_Two-Step_Quantization_for_CVPR_2018_paper.html</t>
  </si>
  <si>
    <t>http://openaccess.thecvf.com/content_cvpr_2018/html/Chen_Deep_Hashing_via_CVPR_2018_paper.html</t>
  </si>
  <si>
    <t>http://openaccess.thecvf.com/content_cvpr_2018/html/Marcos_Learning_Deep_Structured_CVPR_2018_paper.html</t>
  </si>
  <si>
    <t>http://openaccess.thecvf.com/content_ECCV_2018/html/Sheng_Guo_CurriculumNet_Learning_from_ECCV_2018_paper.html</t>
  </si>
  <si>
    <t>http://openaccess.thecvf.com/content_ECCV_2018/html/Chi_Li_A_Unified_Framework_ECCV_2018_paper.html</t>
  </si>
  <si>
    <t>http://openaccess.thecvf.com/content_ECCV_2018/html/Xiaolin_Zhang_Self-produced_Guidance_for_ECCV_2018_paper.html</t>
  </si>
  <si>
    <t>http://openaccess.thecvf.com/content_ECCV_2018/html/Zhipeng_Cai_Deterministic_Consensus_Maximization_ECCV_2018_paper.html</t>
  </si>
  <si>
    <t>http://openaccess.thecvf.com/content_ECCV_2018/html/Jiren_Zhu_HiDDeN_Hiding_Data_ECCV_2018_paper.html</t>
  </si>
  <si>
    <t>http://openaccess.thecvf.com/content_ECCV_2018/html/Zerong_Zheng_HybridFusion_Real-Time_Performance_ECCV_2018_paper.html</t>
  </si>
  <si>
    <t>http://openaccess.thecvf.com/content_ECCV_2018/html/Chenglong_Li_Cross-Modal_Ranking_with_ECCV_2018_paper.html</t>
  </si>
  <si>
    <t>http://openaccess.thecvf.com/content_ECCV_2018/html/Zheng_Dang_Eigendecomposition-free_Training_of_ECCV_2018_paper.html</t>
  </si>
  <si>
    <t>http://openaccess.thecvf.com/content_ECCV_2018/html/Yaojie_Liu_Face_De-spoofing_ECCV_2018_paper.html</t>
  </si>
  <si>
    <t>http://openaccess.thecvf.com/content_ECCV_2018/html/Mingtao_Feng_3D_Face_Reconstruction_ECCV_2018_paper.html</t>
  </si>
  <si>
    <t>http://openaccess.thecvf.com/content_ECCV_2018/html/Guandao_Yang_A_Unified_Framework_ECCV_2018_paper.html</t>
  </si>
  <si>
    <t>http://openaccess.thecvf.com/content_ECCV_2018/html/Yao_Feng_Joint_3D_Face_ECCV_2018_paper.html</t>
  </si>
  <si>
    <t>http://openaccess.thecvf.com/content_ECCV_2018/html/Anil_Baslamisli_Joint_Learning_of_ECCV_2018_paper.html</t>
  </si>
  <si>
    <t>http://openaccess.thecvf.com/content_ECCV_2018/html/George_Papandreou_PersonLab_Person_Pose_ECCV_2018_paper.html</t>
  </si>
  <si>
    <t>http://openaccess.thecvf.com/content_ECCV_2018/html/Oliver_Zendel_WildDash_-_Creating_ECCV_2018_paper.html</t>
  </si>
  <si>
    <t>http://openaccess.thecvf.com/content_ECCV_2018/html/Yuxin_Wu_Group_Normalization_ECCV_2018_paper.html</t>
  </si>
  <si>
    <t>http://openaccess.thecvf.com/content_ECCV_2018/html/Jue_Wang_Learning_Discriminative_Video_ECCV_2018_paper.html</t>
  </si>
  <si>
    <t>http://openaccess.thecvf.com/content_ECCV_2018/html/Chunrui_Han_Face_Recognition_with_ECCV_2018_paper.html</t>
  </si>
  <si>
    <t>http://openaccess.thecvf.com/content_ECCV_2018/html/Pradeep_Kumar_Jayaraman_Quadtree_Convolutional_Neural_ECCV_2018_paper.html</t>
  </si>
  <si>
    <t>http://openaccess.thecvf.com/content_ECCV_2018/html/Pau_Rodriguez_Lopez_Attend_and_Rectify_ECCV_2018_paper.html</t>
  </si>
  <si>
    <t>http://openaccess.thecvf.com/content_ECCV_2018/html/Damien_Teney_Visual_Question_Answering_ECCV_2018_paper.html</t>
  </si>
  <si>
    <t>http://openaccess.thecvf.com/content_iccv_2017/html/Shen_Learning_Deep_Neural_ICCV_2017_paper.html</t>
  </si>
  <si>
    <t>http://openaccess.thecvf.com/content_iccv_2017/html/Panda_Weakly_Supervised_Summarization_ICCV_2017_paper.html</t>
  </si>
  <si>
    <t>http://openaccess.thecvf.com/content_iccv_2017/html/Wu_Anticipating_Daily_Intention_ICCV_2017_paper.html</t>
  </si>
  <si>
    <t>http://openaccess.thecvf.com/content_iccv_2017/html/Busta_Deep_TextSpotter_An_ICCV_2017_paper.html</t>
  </si>
  <si>
    <t>http://openaccess.thecvf.com/content_iccv_2017/html/Khan_Synergy_Between_Face_ICCV_2017_paper.html</t>
  </si>
  <si>
    <t>http://openaccess.thecvf.com/content_iccv_2017/html/Park_Joint_Estimation_of_ICCV_2017_paper.html</t>
  </si>
  <si>
    <t>http://openaccess.thecvf.com/content_iccv_2017/html/Bouman_Turning_Corners_Into_ICCV_2017_paper.html</t>
  </si>
  <si>
    <t>http://openaccess.thecvf.com/content_iccv_2017/html/Kafle_An_Analysis_of_ICCV_2017_paper.html</t>
  </si>
  <si>
    <t>http://openaccess.thecvf.com/content_iccv_2017/html/Gadde_Semantic_Video_CNNs_ICCV_2017_paper.html</t>
  </si>
  <si>
    <t>http://openaccess.thecvf.com/content_iccv_2017/html/Hu_Attribute-Enhanced_Face_Recognition_ICCV_2017_paper.html</t>
  </si>
  <si>
    <t>http://openaccess.thecvf.com/content_iccv_2017/html/Furukawa_Depth_Estimation_Using_ICCV_2017_paper.html</t>
  </si>
  <si>
    <t>http://openaccess.thecvf.com/content_iccv_2017/html/Luc_Predicting_Deeper_Into_ICCV_2017_paper.html</t>
  </si>
  <si>
    <t>http://openaccess.thecvf.com/content_iccv_2017/html/Behl_Bounding_Boxes_Segmentations_ICCV_2017_paper.html</t>
  </si>
  <si>
    <t>http://openaccess.thecvf.com/content_iccv_2017/html/Liu_Video_Frame_Synthesis_ICCV_2017_paper.html</t>
  </si>
  <si>
    <t>http://openaccess.thecvf.com/content_iccv_2017/html/Tatarchenko_Octree_Generating_Networks_ICCV_2017_paper.html</t>
  </si>
  <si>
    <t>http://openaccess.thecvf.com/content_iccv_2017/html/Zhu_Unpaired_Image-To-Image_Translation_ICCV_2017_paper.html</t>
  </si>
  <si>
    <t>http://openaccess.thecvf.com/content_iccv_2017/html/Noroozi_Representation_Learning_by_ICCV_2017_paper.html</t>
  </si>
  <si>
    <t>http://openaccess.thecvf.com/content_iccv_2017/html/Wan_Benchmarking_Single-Image_Reflection_ICCV_2017_paper.html</t>
  </si>
  <si>
    <t>http://openaccess.thecvf.com/content_iccv_2017/html/Gallardo_Dense_Non-Rigid_Structure-From-Motion_ICCV_2017_paper.html</t>
  </si>
  <si>
    <t>http://openaccess.thecvf.com/content_iccv_2017/html/Maksai_Non-Markovian_Globally_Consistent_ICCV_2017_paper.html</t>
  </si>
  <si>
    <t>Image Collection Pop-Up: 3D Reconstruction and Clustering of Rigid and Non-Rigid Categories</t>
  </si>
  <si>
    <t>PASCAL VOC</t>
  </si>
  <si>
    <t>MUCT</t>
  </si>
  <si>
    <t>TigDog</t>
  </si>
  <si>
    <t>ASL Collection</t>
  </si>
  <si>
    <t>synthetic</t>
  </si>
  <si>
    <t>Guide Me: Interacting With Deep Networks</t>
  </si>
  <si>
    <t>COCO-Stuff</t>
  </si>
  <si>
    <t>Learning Sentiment Memories for Sentiment Modification without Parallel Data</t>
  </si>
  <si>
    <t>https://aclanthology.info/papers/D18-1138/d18-1138</t>
  </si>
  <si>
    <t>Yelp Review Dataset</t>
  </si>
  <si>
    <t>Simple Recurrent Units for Highly Parallelizable Recurrence</t>
  </si>
  <si>
    <t>https://aclanthology.info/papers/D18-1477/d18-1477</t>
  </si>
  <si>
    <t>movie review sentiment (MR; Pang and Lee, 2005)</t>
  </si>
  <si>
    <t>https://aclanthology.info/papers/D18-1477/d18-1478</t>
  </si>
  <si>
    <t>sentence subjectivity (SUBJ; Pang and Lee, 2004)</t>
  </si>
  <si>
    <t>https://aclanthology.info/papers/D18-1477/d18-1479</t>
  </si>
  <si>
    <t>customer reviews polarity (CR; Hu and Liu, 2004)</t>
  </si>
  <si>
    <t>https://aclanthology.info/papers/D18-1477/d18-1480</t>
  </si>
  <si>
    <t>question type (TREC; Li and Roth, 2002)</t>
  </si>
  <si>
    <t>https://aclanthology.info/papers/D18-1477/d18-1481</t>
  </si>
  <si>
    <t>opinion polarity (MPQA; Wiebe et al., 2005)</t>
  </si>
  <si>
    <t>https://aclanthology.info/papers/D18-1477/d18-1482</t>
  </si>
  <si>
    <t>Stanford sentiment treebank (SST; Socher et al., 2013)</t>
  </si>
  <si>
    <t>Dating Documents using Graph Convolution Networks</t>
  </si>
  <si>
    <t>https://acl2018.org/paper/1683</t>
  </si>
  <si>
    <t>Gigaword Corpus Associated Press Worldstream (APW)</t>
  </si>
  <si>
    <t>https://acl2018.org/paper/1684</t>
  </si>
  <si>
    <t>Gigaword Corpus New York Times (NYT)</t>
  </si>
  <si>
    <t>How Much Attention Do You Need? A Granular Analysis of Neural Machine Translation Architectures</t>
  </si>
  <si>
    <t>http://aclweb.org/anthology/P18-1167</t>
  </si>
  <si>
    <t>IWSLT EN→DE</t>
  </si>
  <si>
    <t>http://aclweb.org/anthology/P18-1168</t>
  </si>
  <si>
    <t>WMT’17 EN→DE</t>
  </si>
  <si>
    <t>http://aclweb.org/anthology/P18-1169</t>
  </si>
  <si>
    <t>WMT’17 LV→EN</t>
  </si>
  <si>
    <t>Neural Fine-Grained Entity Type Classification with Hierarchy-Aware Loss</t>
  </si>
  <si>
    <t>https://aclanthology.info/papers/N18-1002/n18-1002</t>
  </si>
  <si>
    <t>FIGER(GOLD)</t>
  </si>
  <si>
    <t>https://aclanthology.info/papers/N18-1002/n18-1003</t>
  </si>
  <si>
    <t>OntoNotes</t>
  </si>
  <si>
    <t>Beyond Log-concavity: Provable Guarantees for Sampling Multi-modal Distributions using Simulated Tempering Langevin Monte Carlo</t>
  </si>
  <si>
    <t>https://papers.nips.cc/paper/8010-beyond-log-concavity-provable-guarantees-for-sampling-multi-modal-distributions-using-simulated-tempering-langevin-monte-carlo.pdf</t>
  </si>
  <si>
    <t>Neural Ordinary Differential Equations</t>
  </si>
  <si>
    <t>https://papers.nips.cc/paper/7892-neural-ordinary-differential-equations.pdf</t>
  </si>
  <si>
    <t>Simulation Data Only</t>
  </si>
  <si>
    <t>Gradient Descent Learns One-hidden-layer CNN: Don’t be Afraid of Spurious Local Minima</t>
  </si>
  <si>
    <t>http://proceedings.mlr.press/v80/du18b.html</t>
  </si>
  <si>
    <t>Thompson Sampling for Combinatorial Semi-Bandits</t>
  </si>
  <si>
    <t>http://proceedings.mlr.press/v80/wang18a.html</t>
  </si>
  <si>
    <t>Hetero-ConvLSTM: A Deep Learning Approach to Traffic Accident Prediction on Heterogeneous Spatio-Tem</t>
  </si>
  <si>
    <t>https://www.kdd.org/kdd2018/accepted-papers/view/hetero-convlstm-a-deep-learning-approach-to-traffic-accident-prediction-on-</t>
  </si>
  <si>
    <t>Motor Vehicle Crash Data Iowa DOT</t>
  </si>
  <si>
    <t>High resolution rainfall data</t>
  </si>
  <si>
    <t>RWIS Data (Iowa DOT)</t>
  </si>
  <si>
    <t>Road Networks</t>
  </si>
  <si>
    <t>Satellite Images</t>
  </si>
  <si>
    <t>Traffic Camera Data</t>
  </si>
  <si>
    <t>Deep Recursive Network Embedding with Regular Equivalence</t>
  </si>
  <si>
    <t>http://delivery.acm.org/10.1145/3230000/3220068/p2357-tu.pdf?ip=76.71.73.74&amp;id=3220068&amp;acc=OPENTOC&amp;key=4D4702B0C3E38B35%2E4D4702B0C3E38B35%2E4D4702B0C3E38B35%2E054E54E275136550&amp;__acm__=1551578034_a65909f657cae10bf71734fe88471b06</t>
  </si>
  <si>
    <t>Karate Network</t>
  </si>
  <si>
    <t>http://delivery.acm.org/10.1145/3230000/3220068/p2357-tu.pdf?ip=76.71.73.74&amp;id=3220068&amp;acc=OPENTOC&amp;key=4D4702B0C3E38B35%2E4D4702B0C3E38B35%2E4D4702B0C3E38B35%2E054E54E275136550&amp;__acm__=1551578034_a65909f657cae10bf71734fe88471b07</t>
  </si>
  <si>
    <t>Barbell Network</t>
  </si>
  <si>
    <t>http://delivery.acm.org/10.1145/3230000/3220068/p2357-tu.pdf?ip=76.71.73.74&amp;id=3220068&amp;acc=OPENTOC&amp;key=4D4702B0C3E38B35%2E4D4702B0C3E38B35%2E4D4702B0C3E38B35%2E054E54E275136550&amp;__acm__=1551578034_a65909f657cae10bf71734fe88471b08</t>
  </si>
  <si>
    <t>Jazz</t>
  </si>
  <si>
    <t>http://delivery.acm.org/10.1145/3230000/3220068/p2357-tu.pdf?ip=76.71.73.74&amp;id=3220068&amp;acc=OPENTOC&amp;key=4D4702B0C3E38B35%2E4D4702B0C3E38B35%2E4D4702B0C3E38B35%2E054E54E275136550&amp;__acm__=1551578034_a65909f657cae10bf71734fe88471b09</t>
  </si>
  <si>
    <t>BlogCatalog</t>
  </si>
  <si>
    <t>CurriculumNet: Weakly Supervised Learning from Large-Scale Web Images</t>
  </si>
  <si>
    <t>Webvision</t>
  </si>
  <si>
    <t>ImageNet</t>
  </si>
  <si>
    <t>Clothing-1M</t>
  </si>
  <si>
    <t>Food-101</t>
  </si>
  <si>
    <t>A Unified Framework for Multi-View Multi-Class Object Pose Estimation</t>
  </si>
  <si>
    <t>YCB-Video</t>
  </si>
  <si>
    <t>JHUScene-50</t>
  </si>
  <si>
    <t>ObjectNet-3D</t>
  </si>
  <si>
    <t>Learning Deep Neural Networks for Vehicle Re-ID With Visual-Spatio-Temporal Path Proposals</t>
  </si>
  <si>
    <t>VeRi-776</t>
  </si>
  <si>
    <t>Weakly Supervised Summarization of Web Videos</t>
  </si>
  <si>
    <t>CoSum</t>
  </si>
  <si>
    <t>TVSum</t>
  </si>
  <si>
    <t>The Digital Database for Screening Mammography (DDSM)</t>
  </si>
  <si>
    <t>Probabilistic Joint Face-Skull Modelling for Facial Reconstruction</t>
  </si>
  <si>
    <t>MRI Scans (self-collected)</t>
  </si>
  <si>
    <t>3D Face Scans (self-collected)</t>
  </si>
  <si>
    <t>2D-constructed Faces (self-collected)</t>
  </si>
  <si>
    <t>Human Semantic Parsing for Person Re-Identification</t>
  </si>
  <si>
    <t xml:space="preserve">Market-1501 </t>
  </si>
  <si>
    <t>CUHK03</t>
  </si>
  <si>
    <t>DukeMTMCreID</t>
  </si>
  <si>
    <t>Improving Occlusion and Hard Negative Handling for Single-Stage Pedestrian Detectors</t>
  </si>
  <si>
    <t>Caltech pedestrian</t>
  </si>
  <si>
    <t>CityPersons</t>
  </si>
  <si>
    <t>pOSE: Pseudo Object Space Error for Initialization-Free Bundle Adjustment</t>
  </si>
  <si>
    <t>dinosaur</t>
  </si>
  <si>
    <t>? Olsson’s [39]</t>
  </si>
  <si>
    <t>? Strecha et al.’s [47]</t>
  </si>
  <si>
    <t>SSNet: Scale Selection Network for Online 3D Action Prediction</t>
  </si>
  <si>
    <t>OAD</t>
  </si>
  <si>
    <t>PKU-MMD</t>
  </si>
  <si>
    <t>CLEAR: Cumulative LEARning for One-Shot One-Class Image Recognition</t>
  </si>
  <si>
    <t>Caltech-256</t>
  </si>
  <si>
    <t>Oxford flowers 102</t>
  </si>
  <si>
    <t>Caltech-UCSD Birds-200-2011</t>
  </si>
  <si>
    <t>MIT Indoor 67 scene recognition dataset</t>
  </si>
  <si>
    <t>SUN attribute database</t>
  </si>
  <si>
    <t>RayNet: Learning Volumetric 3D Reconstruction With Ray Potentials</t>
  </si>
  <si>
    <t>Aerial Dataset  Restrepo et al. [25]</t>
  </si>
  <si>
    <t>DTU Dataset</t>
  </si>
  <si>
    <t>Environment Upgrade Reinforcement Learning for Non-Differentiable Multi-Stage Pipelines</t>
  </si>
  <si>
    <t>MSCOCO</t>
  </si>
  <si>
    <t>MPII Human Pose</t>
  </si>
  <si>
    <t>Self-produced Guidance for Weakly-supervised Object Localization</t>
  </si>
  <si>
    <t>ILSVRC</t>
  </si>
  <si>
    <t>Deterministic Consensus Maximization with Biconvex Programming</t>
  </si>
  <si>
    <t>NYC Library dataset</t>
  </si>
  <si>
    <t>More theoretically Oriented</t>
  </si>
  <si>
    <t>NotreDame dataset [24]</t>
  </si>
  <si>
    <t>Synthetic Data</t>
  </si>
  <si>
    <t>HiDDeN: Hiding Data with Deep Networks</t>
  </si>
  <si>
    <t>COCO</t>
  </si>
  <si>
    <t>BOSS dataset</t>
  </si>
  <si>
    <t>Synergy Between Face Alignment and Tracking via Discriminative Global Consensus Optimization</t>
  </si>
  <si>
    <t>300-VW</t>
  </si>
  <si>
    <t>Oxford-IIIT-Pet dataset</t>
  </si>
  <si>
    <t>Deep TextSpotter: An End-To-End Trainable Scene Text Localization and Recognition Framework</t>
  </si>
  <si>
    <t>ICDAR 2013</t>
  </si>
  <si>
    <t>ICDAR 2015</t>
  </si>
  <si>
    <t>Anticipating Daily Intention Using On-Wrist Motion Triggered Sensing</t>
  </si>
  <si>
    <t>Intention Dataset</t>
  </si>
  <si>
    <t>New, self-collected, will release</t>
  </si>
  <si>
    <t>3D Face Reconstruction from Light Field Images: A Model-free Approach</t>
  </si>
  <si>
    <t>BU-3DFE</t>
  </si>
  <si>
    <t>BU-4DFE</t>
  </si>
  <si>
    <t>Face De-Spoofing: Anti-Spoofing via Noise Modeling</t>
  </si>
  <si>
    <t>CASIA-MFSD</t>
  </si>
  <si>
    <t>Replay-Attack</t>
  </si>
  <si>
    <t>Oulu-NPU</t>
  </si>
  <si>
    <t>Eigendecomposition-free Training of Deep Networks with Zero Eigenvalue-based Losses</t>
  </si>
  <si>
    <t>SUN3D</t>
  </si>
  <si>
    <t>Simulated Plane Fitting Data</t>
  </si>
  <si>
    <t>Simulated PnP Data</t>
  </si>
  <si>
    <t>Cross-Modal Ranking with Soft Consistency and Noisy Labels for Robust RGB-T Tracking</t>
  </si>
  <si>
    <t>GTOT</t>
  </si>
  <si>
    <t>RGBT210</t>
  </si>
  <si>
    <t>HybridFusion: Real-Time Performance Capture Using a Single Depth Sensor and Sparse IMUs</t>
  </si>
  <si>
    <t>DoubleFusion</t>
  </si>
  <si>
    <t>Hybrid Tracker ? [11]</t>
  </si>
  <si>
    <t>Joint Estimation of Camera Pose, Depth, Deblurring, and Super-Resolution From a Blurred Image Sequence</t>
  </si>
  <si>
    <t>Self-collected Real Data</t>
  </si>
  <si>
    <t>Synthetic Datasets</t>
  </si>
  <si>
    <t>Turning Corners Into Cameras: Principles and Methods</t>
  </si>
  <si>
    <t>Manually Collected Indoor</t>
  </si>
  <si>
    <t>More of a 'first in class' thing than a 'beat other models' thing</t>
  </si>
  <si>
    <t>Manually Collected Outdoor (varying weahter)</t>
  </si>
  <si>
    <t>An Analysis of Visual Question Answering Algorithms</t>
  </si>
  <si>
    <t>TDIUC</t>
  </si>
  <si>
    <t>Newly Curated</t>
  </si>
  <si>
    <t>Semantic Video CNNs Through Representation Warping</t>
  </si>
  <si>
    <t>CamVid</t>
  </si>
  <si>
    <t>CityScapes</t>
  </si>
  <si>
    <t>Attribute-Enhanced Face Recognition With Neural Tensor Fusion Networks</t>
  </si>
  <si>
    <t>MultiPIE</t>
  </si>
  <si>
    <t xml:space="preserve">CASIA NIR-VIR2.0 </t>
  </si>
  <si>
    <t>LFW</t>
  </si>
  <si>
    <t>Low-Latency Video Semantic Segmentation</t>
  </si>
  <si>
    <t>Cityscapes</t>
  </si>
  <si>
    <t>An Efficient and Provable Approach for Mixture Proportion Estimation Using Linear Independence Assumption</t>
  </si>
  <si>
    <t>Waveform (UCI)</t>
  </si>
  <si>
    <t>Spambase (UCI)</t>
  </si>
  <si>
    <t>Learning Spatial-Temporal Regularized Correlation Filters for Visual Tracking</t>
  </si>
  <si>
    <t>OTB-2015</t>
  </si>
  <si>
    <t>Temple-Color</t>
  </si>
  <si>
    <t>VOT-2016</t>
  </si>
  <si>
    <t>Revisiting Salient Object Detection: Simultaneous Detection, Ranking, and Subitizing of Multiple Salient Objects</t>
  </si>
  <si>
    <t>PASCAL-S</t>
  </si>
  <si>
    <t>(modified w/ ground truth somehow)</t>
  </si>
  <si>
    <t>Learning Deep Models for Face Anti-Spoofing: Binary or Auxiliary Supervision</t>
  </si>
  <si>
    <t>SiW</t>
  </si>
  <si>
    <t>Newly released</t>
  </si>
  <si>
    <t>Human Appearance Transfer</t>
  </si>
  <si>
    <t>Chictopia10k</t>
  </si>
  <si>
    <t>Style Aggregated Network for Facial Landmark Detection</t>
  </si>
  <si>
    <t>AFLW</t>
  </si>
  <si>
    <t>300-W</t>
  </si>
  <si>
    <t>Efficient Optimization for Rank-Based Loss Functions</t>
  </si>
  <si>
    <t>PASCAL VOC 2011</t>
  </si>
  <si>
    <t>PASCAL VOC 2007</t>
  </si>
  <si>
    <t>CIFAR-10</t>
  </si>
  <si>
    <t>Two-Step Quantization for Low-Bit Neural Networks</t>
  </si>
  <si>
    <t>ILSVRC-12</t>
  </si>
  <si>
    <t>Deep Hashing via Discrepancy Minimization</t>
  </si>
  <si>
    <t>NUS-WIDE</t>
  </si>
  <si>
    <t>Learning Single-View 3D Reconstruction with Limited Pose Supervision</t>
  </si>
  <si>
    <t>ShapeNetCore</t>
  </si>
  <si>
    <t>Joint 3D Face Reconstruction and Dense Alignment with Position Map Regression Network</t>
  </si>
  <si>
    <t>AFLW2000-3D</t>
  </si>
  <si>
    <t>Florence</t>
  </si>
  <si>
    <t>AFLW-LFPA</t>
  </si>
  <si>
    <t>Joint Learning of Intrinsic Images and Semantic Segmentation</t>
  </si>
  <si>
    <t>Synthetic Dataset (public)</t>
  </si>
  <si>
    <t>PersonLab: Person Pose Estimation and Instance Segmentation with a Bottom-Up, Part-Based, Geometric Embedding Model</t>
  </si>
  <si>
    <t>Group Normalization</t>
  </si>
  <si>
    <t>Kinetics</t>
  </si>
  <si>
    <t>WildDash - Creating Hazard-Aware Benchmarks</t>
  </si>
  <si>
    <t>WildDash</t>
  </si>
  <si>
    <t>(Newly Created)</t>
  </si>
  <si>
    <t>Learning Discriminative Video Representations Using Adversarial Perturbations</t>
  </si>
  <si>
    <t>HMDB-51</t>
  </si>
  <si>
    <t>NTU-RGBD</t>
  </si>
  <si>
    <t>YUP++ dataset</t>
  </si>
  <si>
    <t>Face Recognition with Contrastive Convolution</t>
  </si>
  <si>
    <t>IJB-A</t>
  </si>
  <si>
    <t>CASIA-WebFace</t>
  </si>
  <si>
    <t>Quadtree Convolutional Neural Networks</t>
  </si>
  <si>
    <t>EMNIST Balanced</t>
  </si>
  <si>
    <t>CASIA-HWDB1.1</t>
  </si>
  <si>
    <t>TU-Berlin Sketch Dataset</t>
  </si>
  <si>
    <t>Attend and Rectify: a gated attention mechanism for fine-grained recovery</t>
  </si>
  <si>
    <t>Adience gender recognition task</t>
  </si>
  <si>
    <t>Stanford Dogs</t>
  </si>
  <si>
    <t>UEC Food-100</t>
  </si>
  <si>
    <t>CIFAR-100</t>
  </si>
  <si>
    <t>Depth Estimation Using Structured Light Flow -- Analysis of Projected Pattern Flow on an Object's Surface</t>
  </si>
  <si>
    <t>Self-collected Planar</t>
  </si>
  <si>
    <t>(first proof of concept)</t>
  </si>
  <si>
    <t>Self-collected Fast-moving Rounded Objects</t>
  </si>
  <si>
    <t>Predicting Deeper Into the Future of Semantic Segmentation</t>
  </si>
  <si>
    <t>Bounding Boxes, Segmentations and Object Coordinates: How Important Is Recognition for 3D Scene Flow Estimation in Autonomous Driving Scenarios?</t>
  </si>
  <si>
    <t>KITTI 2015</t>
  </si>
  <si>
    <t>Newly Annotated Stereo Image Dataset</t>
  </si>
  <si>
    <t>Video Frame Synthesis Using Deep Voxel Flow</t>
  </si>
  <si>
    <t>UCF-101</t>
  </si>
  <si>
    <t>THUMOS-15</t>
  </si>
  <si>
    <t>KITTI 2012</t>
  </si>
  <si>
    <t>Learning Discriminative ab-Divergences for Positive Definite Matrices</t>
  </si>
  <si>
    <t>http://openaccess.thecvf.com/content_ICCV_2017/papers/Cherian_Learning_Discriminative_ab-Divergences_ICCV_2017_paper.pdf</t>
  </si>
  <si>
    <t>HMDB</t>
  </si>
  <si>
    <t>JHMDB</t>
  </si>
  <si>
    <t>SHREC 3D Object Recognition Dataset</t>
  </si>
  <si>
    <t>KTH-TIPS2</t>
  </si>
  <si>
    <t>Brodatz Textures</t>
  </si>
  <si>
    <t>Virus Dataset</t>
  </si>
  <si>
    <t>Cancer Dataset</t>
  </si>
  <si>
    <t>Octree Generating Networks: Efficient Convolutional Architectures for High-Resolution 3D Outputs</t>
  </si>
  <si>
    <t>ShapeNet-All</t>
  </si>
  <si>
    <t>ShapeNet-Cars</t>
  </si>
  <si>
    <t>BlendSwap</t>
  </si>
  <si>
    <t>Unpaired Image-To-Image Translation Using Cycle-Consistent Adversarial Networks</t>
  </si>
  <si>
    <t>Paintings by Classical Artists</t>
  </si>
  <si>
    <t>Flickr Photographs</t>
  </si>
  <si>
    <t>DSLR Photographs</t>
  </si>
  <si>
    <t>Self collected?</t>
  </si>
  <si>
    <t>Representation Learning by Learning to Count</t>
  </si>
  <si>
    <t>Benchmarking Single-Image Reflection Removal Algorithms</t>
  </si>
  <si>
    <t>SIR2</t>
  </si>
  <si>
    <t>Newly Created</t>
  </si>
  <si>
    <t>Dense Non-Rigid Structure-From-Motion and Shading With Unknown Albedos</t>
  </si>
  <si>
    <t>floral paper</t>
  </si>
  <si>
    <t>paper fortune teller</t>
  </si>
  <si>
    <t>Kinetic Paper</t>
  </si>
  <si>
    <t>Creased paper</t>
  </si>
  <si>
    <t xml:space="preserve"> MIMIC-CXR dataset</t>
  </si>
  <si>
    <t>A Deep Generative Model of Vowel Formant Typology</t>
  </si>
  <si>
    <t>https://aclanthology.info/papers/N18-1004/n18-1004</t>
  </si>
  <si>
    <t>Becker-Kristal Corpus ("Predicting vowel inventories:
The dispersion-focalization theory revisited")</t>
  </si>
  <si>
    <t>Joint Bootstrapping Machines for High Confidence Relation Extraction</t>
  </si>
  <si>
    <t>https://aclanthology.info/papers/N18-1003/n18-1003</t>
  </si>
  <si>
    <t>BREE Dataset</t>
  </si>
  <si>
    <t>Fortification of Neural Morphological Segmentation Models for Polysynthetic Minimal-Resource Languages</t>
  </si>
  <si>
    <t>https://aclanthology.info/papers/N18-1005/n18-1005</t>
  </si>
  <si>
    <t>Indigenougs Mexican Morphological Segmentation Dataset</t>
  </si>
  <si>
    <t>Newly Released</t>
  </si>
  <si>
    <t>Nahuatl, Mexicanero corpus (Gutierrez-Vasques et al 2016)</t>
  </si>
  <si>
    <t>Yorem, Nokki (Maldonado Martinez et al 2010)</t>
  </si>
  <si>
    <t>Entity-Centric Joint Modeling of Japanese Coreference Resolution and Predicate Argument Structure Analysis</t>
  </si>
  <si>
    <t>https://acl2018.org/paper/1606</t>
  </si>
  <si>
    <t>KWDLC Evaluation Set</t>
  </si>
  <si>
    <t>Kyoto Corpus</t>
  </si>
  <si>
    <t>Joint Reasoning for Temporal and Causal Relations</t>
  </si>
  <si>
    <t>https://acl2018.org/paper/1095</t>
  </si>
  <si>
    <t>Augmented Event Causality dataset</t>
  </si>
  <si>
    <t>TimeBank-Dense</t>
  </si>
  <si>
    <t>Causal-TimeBank</t>
  </si>
  <si>
    <t>CaTeRs</t>
  </si>
  <si>
    <t>DeepPavlov: Open-Source Library for Dialogue Systems</t>
  </si>
  <si>
    <t>https://acl2018.org/paper/68-demo</t>
  </si>
  <si>
    <t>DSTC2</t>
  </si>
  <si>
    <t>OntoNotes 5.0</t>
  </si>
  <si>
    <t>SNIPS</t>
  </si>
  <si>
    <t>SpellRuEval Dataset</t>
  </si>
  <si>
    <t>Compare, Compress and Propagate: Enhancing Neural Architectures with Alignment Factorization for Natural Language Inference</t>
  </si>
  <si>
    <t>https://aclanthology.info/papers/D18-1185/d18-1185</t>
  </si>
  <si>
    <t>SciTail</t>
  </si>
  <si>
    <t>SNLI</t>
  </si>
  <si>
    <t>MultiNLI</t>
  </si>
  <si>
    <t>Semantic Linking in Convolutional Neural Networks for Answer Sentence Selection</t>
  </si>
  <si>
    <t>https://aclanthology.info/papers/D18-1133/d18-1133</t>
  </si>
  <si>
    <t>UIUC Dataset</t>
  </si>
  <si>
    <t>Bunescu and Huang Dataset</t>
  </si>
  <si>
    <t>TreeQA</t>
  </si>
  <si>
    <t>WikiQA</t>
  </si>
  <si>
    <t>A Neural Local Coherence Model for Text Quality Assessment</t>
  </si>
  <si>
    <t>https://aclanthology.info/papers/D18-1464/d18-1464</t>
  </si>
  <si>
    <t>De Clercq 2014 Dataset</t>
  </si>
  <si>
    <t>ASAP Competition Dataset</t>
  </si>
  <si>
    <t>http://aclweb.org/anthology/N18-1006</t>
  </si>
  <si>
    <t>WMT-15</t>
  </si>
  <si>
    <t>http://aclweb.org/anthology/N18-1007</t>
  </si>
  <si>
    <t>newstest-2013</t>
  </si>
  <si>
    <t>http://aclweb.org/anthology/N18-1008</t>
  </si>
  <si>
    <t>newstest-2015</t>
  </si>
  <si>
    <t>http://aclweb.org/anthology/N18-1009</t>
  </si>
  <si>
    <t>OpenSubtitle2016</t>
  </si>
  <si>
    <t>Switchboard-NXT</t>
  </si>
  <si>
    <t>Treebank, NXT release</t>
  </si>
  <si>
    <t xml:space="preserve"> CALLHOME Spanish
Speech dataset (LDC2014T23)</t>
  </si>
  <si>
    <t>Glossed Audio Corpus of Ainu Folklore</t>
  </si>
  <si>
    <t>http://aclweb.org/anthology/N18-1010</t>
  </si>
  <si>
    <t>Goddard 2017 corpus</t>
  </si>
  <si>
    <t>http://aclweb.org/anthology/N18-1011</t>
  </si>
  <si>
    <t>Mboshi-French corpus</t>
  </si>
  <si>
    <t>http://aclweb.org/anthology/N18-1012</t>
  </si>
  <si>
    <t xml:space="preserve"> Europarl corpus</t>
  </si>
  <si>
    <t>http://aclweb.org/anthology/D18-1363</t>
  </si>
  <si>
    <t>CoNLL–SIGMORPHON 2017</t>
  </si>
  <si>
    <t>http://aclweb.org/anthology/D18-1090</t>
  </si>
  <si>
    <t>ASAP dataset</t>
  </si>
  <si>
    <t>http://aclweb.org/anthology/D18-1528</t>
  </si>
  <si>
    <t>GECO corpus</t>
  </si>
  <si>
    <t>http://aclweb.org/anthology/P18-3018</t>
  </si>
  <si>
    <t>Boyd-Graber 2018, Quiz Bowl</t>
  </si>
  <si>
    <t>http://aclweb.org/anthology/P18-3019</t>
  </si>
  <si>
    <t>Jennings 2006, Quiz Bowl Questions</t>
  </si>
  <si>
    <t>validated and released the dataset</t>
  </si>
  <si>
    <t>http://aclweb.org/anthology/P18-3015</t>
  </si>
  <si>
    <t>CNN dataset</t>
  </si>
  <si>
    <t>http://aclweb.org/anthology/P18-1229</t>
  </si>
  <si>
    <t>Bansal et al. 2014 WordNet taxonomies</t>
  </si>
  <si>
    <t>http://aclweb.org/anthology/P18-1230</t>
  </si>
  <si>
    <t xml:space="preserve"> SemEval-2016 task 13 (TExEval2)</t>
  </si>
  <si>
    <t>http://aclweb.org/anthology/P18-1231</t>
  </si>
  <si>
    <t>Wikipedia dump</t>
  </si>
  <si>
    <t>http://aclweb.org/anthology/P18-1232</t>
  </si>
  <si>
    <t>UMBC web-based corpus</t>
  </si>
  <si>
    <t>http://aclweb.org/anthology/P18-1233</t>
  </si>
  <si>
    <t>One Billion Word Language Modeling Benchmark</t>
  </si>
  <si>
    <t>http://aclweb.org/anthology/D18-1375</t>
  </si>
  <si>
    <t>Maharjan et al. 2017 book ratings</t>
  </si>
  <si>
    <t>http://aclweb.org/anthology/D18-1376</t>
  </si>
  <si>
    <t>Goodreads book covers</t>
  </si>
  <si>
    <t>http://aclweb.org/anthology/D18-1103</t>
  </si>
  <si>
    <t>English TED corpus</t>
  </si>
  <si>
    <t>http://aclweb.org/anthology/D18-1250</t>
  </si>
  <si>
    <t>SemEval</t>
  </si>
  <si>
    <t>http://aclweb.org/anthology/D18-1251</t>
  </si>
  <si>
    <t>DDI-2013 corpus</t>
  </si>
  <si>
    <t>Biomedical</t>
  </si>
  <si>
    <t>http://aclweb.org/anthology/D18-1252</t>
  </si>
  <si>
    <t>CDR corpus</t>
  </si>
  <si>
    <t>http://aclweb.org/anthology/D18-1253</t>
  </si>
  <si>
    <t>BB3 corpus</t>
  </si>
  <si>
    <t>http://aclweb.org/anthology/D18-1254</t>
  </si>
  <si>
    <t>Phenebank corpus</t>
  </si>
  <si>
    <t>http://aclweb.org/anthology/D18-1255</t>
  </si>
  <si>
    <t>ScienceIE corpus</t>
  </si>
  <si>
    <t>http://aclweb.org/anthology/P18-1157</t>
  </si>
  <si>
    <t>Stanford Question Answering Dataset (SQuAD)</t>
  </si>
  <si>
    <t>http://aclweb.org/anthology/P18-1158</t>
  </si>
  <si>
    <t>AddSent</t>
  </si>
  <si>
    <t>http://aclweb.org/anthology/P18-1159</t>
  </si>
  <si>
    <t>AddOneSent</t>
  </si>
  <si>
    <t>http://aclweb.org/anthology/P18-1160</t>
  </si>
  <si>
    <t>MS MARCO</t>
  </si>
  <si>
    <t>http://aclweb.org/anthology/P18-2087</t>
  </si>
  <si>
    <t>SemEval 2017 Task 7</t>
  </si>
  <si>
    <t>http://aclweb.org/anthology/P18-1123</t>
  </si>
  <si>
    <t>Ubuntu Dialogue Corpus</t>
  </si>
  <si>
    <t>http://aclweb.org/anthology/P18-1124</t>
  </si>
  <si>
    <t>Tech Support Dataset</t>
  </si>
  <si>
    <t>C-SPAN speech audio</t>
  </si>
  <si>
    <t>Created and released dataset</t>
  </si>
  <si>
    <t>Tan et al. 2016 CMV subreddit text</t>
  </si>
  <si>
    <t xml:space="preserve">German CREG corpus </t>
  </si>
  <si>
    <t>CREG-ExpertFocus</t>
  </si>
  <si>
    <t>http://aclweb.org/anthology/N18-1013</t>
  </si>
  <si>
    <t>CREG-5K</t>
  </si>
  <si>
    <t>http://aclweb.org/anthology/D18-2020</t>
  </si>
  <si>
    <t>Wikidata</t>
  </si>
  <si>
    <t>Tool, no experiments</t>
  </si>
  <si>
    <t>NA</t>
  </si>
  <si>
    <t>http://aclweb.org/anthology/D18-1236</t>
  </si>
  <si>
    <t>Symbolic Aided Open Knowledge Expression
(SAOKE)</t>
  </si>
  <si>
    <t>http://aclweb.org/anthology/D18-1218</t>
  </si>
  <si>
    <t>Phrase Detectives corpus</t>
  </si>
  <si>
    <t>http://aclweb.org/anthology/D18-1219</t>
  </si>
  <si>
    <t>CONLL-2012 dataset</t>
  </si>
  <si>
    <t>http://aclweb.org/anthology/P18-4001</t>
  </si>
  <si>
    <t>Non-speaker name annotations for Ji et al. 2017 data</t>
  </si>
  <si>
    <t>http://aclweb.org/anthology/P18-4002</t>
  </si>
  <si>
    <t xml:space="preserve"> TAC-KBP EDL2017</t>
  </si>
  <si>
    <t>http://aclweb.org/anthology/P18-4003</t>
  </si>
  <si>
    <t>Pan et al. 2017 Wikipedia-based silver standard annotations</t>
  </si>
  <si>
    <t>http://aclweb.org/anthology/P18-1013</t>
  </si>
  <si>
    <t>CNN/Daily Mail dataset</t>
  </si>
  <si>
    <t>http://aclweb.org/anthology/P18-1014</t>
  </si>
  <si>
    <t>Human evaluations via MTurk</t>
  </si>
  <si>
    <t>http://aclweb.org/anthology/P18-4007</t>
  </si>
  <si>
    <t>SemEval-2016 task 4</t>
  </si>
  <si>
    <t>http://aclweb.org/anthology/P18-4008</t>
  </si>
  <si>
    <t>SemEval 2010 task 8</t>
  </si>
  <si>
    <t>http://aclweb.org/anthology/P18-4009</t>
  </si>
  <si>
    <t>New York Time data set</t>
  </si>
  <si>
    <t>http://aclweb.org/anthology/P18-4010</t>
  </si>
  <si>
    <t>Panama papers</t>
  </si>
  <si>
    <t>http://aclweb.org/anthology/P18-4011</t>
  </si>
  <si>
    <t>Paradise papers</t>
  </si>
  <si>
    <t>http://aclweb.org/anthology/P18-4012</t>
  </si>
  <si>
    <t>FATF publications</t>
  </si>
  <si>
    <t>Grammarly’s Yahoo Answers Formality Corpus (GYAFC)</t>
  </si>
  <si>
    <t>Using Large Ensembles of Control Variates for Variational Inference</t>
  </si>
  <si>
    <t>https://papers.nips.cc/paper/8201-using-large-ensembles-of-control-variates-for-variational-inference.pdf</t>
  </si>
  <si>
    <t>ionosphere</t>
  </si>
  <si>
    <t>sonar</t>
  </si>
  <si>
    <t>australian</t>
  </si>
  <si>
    <t>Q-learning with Nearest Neighbors</t>
  </si>
  <si>
    <t>https://papers.nips.cc/paper/7574-q-learning-with-nearest-neighbors.pdf</t>
  </si>
  <si>
    <t>assume MDP generated data</t>
  </si>
  <si>
    <t>Scaling the Poisson GLM to massive neural datasets through polynomial approximations</t>
  </si>
  <si>
    <t>https://papers.nips.cc/paper/7611-scaling-the-poisson-glm-to-massive-neural-datasets-through-polynomial-approximations.pdf</t>
  </si>
  <si>
    <t>Retinal Ganglian cell data</t>
  </si>
  <si>
    <t>https://www.ncbi.nlm.nih.gov/pubmed/15277596</t>
  </si>
  <si>
    <t>Online Learning with an Unknown Fairness Metric</t>
  </si>
  <si>
    <t>https://papers.nips.cc/paper/7526-online-learning-with-an-unknown-fairness-metric.pdf</t>
  </si>
  <si>
    <t>A Framework for the Quantitative Evaluation of Disentangled Representations</t>
  </si>
  <si>
    <t>https://openreview.net/forum?id=By-7dz-AZ</t>
  </si>
  <si>
    <t>Generated data</t>
  </si>
  <si>
    <t>Monero in In ECCV Geometry Meets Deep Learning Workshop 2016</t>
  </si>
  <si>
    <t>A Simple Neural Attentive Meta-Learner</t>
  </si>
  <si>
    <t>https://openreview.net/forum?id=B1DmUzWAW</t>
  </si>
  <si>
    <t>Omniglot</t>
  </si>
  <si>
    <t>mini-ImageNet</t>
  </si>
  <si>
    <t>generated data</t>
  </si>
  <si>
    <t>styled after Duan et al. (2016))</t>
  </si>
  <si>
    <t>https://aclanthology.info/papers/D18-1096/d18-1096</t>
  </si>
  <si>
    <t xml:space="preserve"> Finn et al. (2017)</t>
  </si>
  <si>
    <t>Non-Autoregressive Neural Machine Translation</t>
  </si>
  <si>
    <t>https://openreview.net/forum?id=B1l8BtlCb</t>
  </si>
  <si>
    <t>https://aclanthology.info/papers/D18-1019/d18-1019</t>
  </si>
  <si>
    <t>IWSLT16 En–De</t>
  </si>
  <si>
    <t>https://aclanthology.info/papers/D18-1141/d18-1141</t>
  </si>
  <si>
    <t>https://aclanthology.info/papers/D18-1501/d18-1501</t>
  </si>
  <si>
    <t>https://aclanthology.info/papers/D18-1302/d18-1302</t>
  </si>
  <si>
    <t>https://aclanthology.info/papers/D18-1508/d18-1508</t>
  </si>
  <si>
    <t>WMT14 En–De</t>
  </si>
  <si>
    <t>https://aclanthology.info/papers/D18-1384/d18-1384</t>
  </si>
  <si>
    <t>https://aclanthology.info/papers/D18-1068/d18-1068</t>
  </si>
  <si>
    <t>WMT16 En–Ro</t>
  </si>
  <si>
    <t>The Penn Discourse Treebank (PDTB)</t>
  </si>
  <si>
    <t>http://aclweb.org/anthology/N18-1014</t>
  </si>
  <si>
    <t>E2E restaurant dataset</t>
  </si>
  <si>
    <t>http://aclweb.org/anthology/N18-1015</t>
  </si>
  <si>
    <t>TV dataset</t>
  </si>
  <si>
    <t>http://aclweb.org/anthology/N18-1016</t>
  </si>
  <si>
    <t>Laptop dataset</t>
  </si>
  <si>
    <t>http://aclweb.org/anthology/D18-1334</t>
  </si>
  <si>
    <t>Tagged genders of speakers in Vanmassenhove 2018 dataset</t>
  </si>
  <si>
    <t>http://aclweb.org/anthology/D18-1350</t>
  </si>
  <si>
    <t>movie reviews (MR) (Pang and Lee, 2005)</t>
  </si>
  <si>
    <t>https://acl2018.org/paper/757</t>
  </si>
  <si>
    <t>http://aclweb.org/anthology/D18-1351</t>
  </si>
  <si>
    <t>Stanford Sentiment Treebankan extension of MR (SST-2)</t>
  </si>
  <si>
    <t>https://acl2018.org/paper/961</t>
  </si>
  <si>
    <t>http://aclweb.org/anthology/D18-1352</t>
  </si>
  <si>
    <t>Subjectivity dataset (Subj)</t>
  </si>
  <si>
    <t>http://aclweb.org/anthology/D18-1353</t>
  </si>
  <si>
    <t>https://acl2018.org/paper/1501</t>
  </si>
  <si>
    <t>TREC question dataset (TREC)</t>
  </si>
  <si>
    <t>https://acl2018.org/paper/1038</t>
  </si>
  <si>
    <t>http://aclweb.org/anthology/D18-1354</t>
  </si>
  <si>
    <t>customer review (CR)</t>
  </si>
  <si>
    <t>http://aclweb.org/anthology/D18-1355</t>
  </si>
  <si>
    <t>AG’s news corpus</t>
  </si>
  <si>
    <t>https://acl2018.org/paper/844</t>
  </si>
  <si>
    <t>https://acl2018.org/paper/1296</t>
  </si>
  <si>
    <t>http://aclweb.org/anthology/D18-1008</t>
  </si>
  <si>
    <t>https://acl2018.org/paper/1626</t>
  </si>
  <si>
    <t>https://acl2018.org/paper/79</t>
  </si>
  <si>
    <t>Annotated TAP frames on Penn Treebank WSJ Corpus</t>
  </si>
  <si>
    <t>The text indicates the authors released the dataset, but can't find any reference.</t>
  </si>
  <si>
    <t>https://acl2018.org/paper/228</t>
  </si>
  <si>
    <t>http://aclweb.org/anthology/P18-2102</t>
  </si>
  <si>
    <t>VERB PHYSICS data set</t>
  </si>
  <si>
    <t>http://aclweb.org/anthology/P18-2103</t>
  </si>
  <si>
    <t>PROPERTY COMMON SENSE</t>
  </si>
  <si>
    <t>http://aclweb.org/anthology/P18-2104</t>
  </si>
  <si>
    <t xml:space="preserve">McRae Feature Norms dataset </t>
  </si>
  <si>
    <t>http://aclweb.org/anthology/P18-1175</t>
  </si>
  <si>
    <t>MTurk annotations of  Signal Media dataset</t>
  </si>
  <si>
    <t>http://aclweb.org/anthology/P18-1176</t>
  </si>
  <si>
    <t>MTurk annotations of 2015 BioCreative chemical-disease relation dataset</t>
  </si>
  <si>
    <t>http://aclweb.org/anthology/P18-1177</t>
  </si>
  <si>
    <t>MTurk annotations of biomedical literature</t>
  </si>
  <si>
    <t>http://aclweb.org/anthology/P18-1096</t>
  </si>
  <si>
    <t>SANCL 2012 shared task dataset</t>
  </si>
  <si>
    <t>http://aclweb.org/anthology/P18-1097</t>
  </si>
  <si>
    <t>Ontonotes 4.0 release of the Penn treebank Wall Street Journal</t>
  </si>
  <si>
    <t>http://aclweb.org/anthology/P18-1098</t>
  </si>
  <si>
    <t>Amazon reviews dataset</t>
  </si>
  <si>
    <t>Deep Learning and Quantum Entanglement: Fundamental Connections with Implications to Network Design</t>
  </si>
  <si>
    <t>https://openreview.net/forum?id=SywXXwJAb</t>
  </si>
  <si>
    <t>Concepts-Bridges: Uncovering Conceptual Bridges Based on Biomedical Concept Evolution</t>
  </si>
  <si>
    <t>https://www.kdd.org/kdd2018/accepted-papers/view/concepts-bridges-uncovering-conceptual-bridges-based-on-biomedical-concept-</t>
  </si>
  <si>
    <t>BagMinHash – Minwise Hashing Algorithm for Weighted Sets</t>
  </si>
  <si>
    <t>https://www.kdd.org/kdd2018/accepted-papers/view/bagminhash-minwise-hashing-algorithm-for-weighted-sets</t>
  </si>
  <si>
    <t>set of nonnegative single-precision floating point numbers</t>
  </si>
  <si>
    <t>Optimal Distributed Submodular Optimization via Sketching</t>
  </si>
  <si>
    <t>https://www.kdd.org/kdd2018/accepted-papers/view/optimal-distributed-submodular-optimization-via-sketching</t>
  </si>
  <si>
    <t>https://aclanthology.info/papers/N18-1023/n18-1023</t>
  </si>
  <si>
    <t>gutenberg</t>
  </si>
  <si>
    <t>https://www.gutenberg.org/ebooks/</t>
  </si>
  <si>
    <t>https://aclanthology.info/papers/N18-1024/n18-1024</t>
  </si>
  <si>
    <t>https://aclanthology.info/papers/N18-1025/n18-1025</t>
  </si>
  <si>
    <t>https://aclanthology.info/papers/N18-1026/n18-1026</t>
  </si>
  <si>
    <t>s-gutenberg</t>
  </si>
  <si>
    <t>https://aclanthology.info/papers/N18-1028/n18-1028</t>
  </si>
  <si>
    <t>https://aclanthology.info/papers/N18-1029/n18-1029</t>
  </si>
  <si>
    <t>https://aclanthology.info/papers/N18-1030/n18-1030</t>
  </si>
  <si>
    <t>reuters</t>
  </si>
  <si>
    <t>wiki-main</t>
  </si>
  <si>
    <t>wiki-talk</t>
  </si>
  <si>
    <t>news20</t>
  </si>
  <si>
    <t>Model-based Clustering of Short Text Streams</t>
  </si>
  <si>
    <t>https://www.kdd.org/kdd2018/accepted-papers/view/model-based-clustering-of-short-text-streams</t>
  </si>
  <si>
    <t>Tweets</t>
  </si>
  <si>
    <t>https://trec.nist.gov/data/microblog.html</t>
  </si>
  <si>
    <t>Jianhua Yin and Jianyong Wang. 2014. A dirichlet multinomial mixture modelbased approach for short text clustering. In SIGKDD. ACM, 233–242</t>
  </si>
  <si>
    <t>Melody-lyric pairs</t>
  </si>
  <si>
    <t>Created and released the dataset</t>
  </si>
  <si>
    <t xml:space="preserve">Now You’re Cooking dataset </t>
  </si>
  <si>
    <t>http://aclweb.org/anthology/N18-1017</t>
  </si>
  <si>
    <t>WikiMovies-Synthetic</t>
  </si>
  <si>
    <t>http://aclweb.org/anthology/N18-1018</t>
  </si>
  <si>
    <t>WikiMovies-Wikipedia</t>
  </si>
  <si>
    <t>http://aclweb.org/anthology/D18-1207</t>
  </si>
  <si>
    <t>Reported 95% CI for human scores, but not model scores</t>
  </si>
  <si>
    <t>http://aclweb.org/anthology/D18-1208</t>
  </si>
  <si>
    <t xml:space="preserve"> named entities from Hermann et al. (2015)</t>
  </si>
  <si>
    <t>http://aclweb.org/anthology/D18-1349</t>
  </si>
  <si>
    <t>NICTA-PIBOSO</t>
  </si>
  <si>
    <t xml:space="preserve">PubMed RCT </t>
  </si>
  <si>
    <t>http://aclweb.org/anthology/D18-1475</t>
  </si>
  <si>
    <t>WMT17</t>
  </si>
  <si>
    <t>http://aclweb.org/anthology/D18-1476</t>
  </si>
  <si>
    <t>newsdev2017</t>
  </si>
  <si>
    <t>http://aclweb.org/anthology/D18-1477</t>
  </si>
  <si>
    <t>newstest2017</t>
  </si>
  <si>
    <t>http://aclweb.org/anthology/D18-1478</t>
  </si>
  <si>
    <t>WMT14</t>
  </si>
  <si>
    <t>http://aclweb.org/anthology/D18-1479</t>
  </si>
  <si>
    <t>newstest2013</t>
  </si>
  <si>
    <t>http://aclweb.org/anthology/D18-1480</t>
  </si>
  <si>
    <t>newstest2014</t>
  </si>
  <si>
    <t>Mitigating Adversarial Effects Through Randomization</t>
  </si>
  <si>
    <t>https://openreview.net/forum?id=Sk9yuql0Z</t>
  </si>
  <si>
    <t>Hierarchical Representations for Efficient Architecture Search</t>
  </si>
  <si>
    <t>https://openreview.net/forum?id=BJQRKzbA-</t>
  </si>
  <si>
    <t>Continuous Adaptation via Meta-Learning in Nonstationary and Competitive Environments</t>
  </si>
  <si>
    <t>https://openreview.net/forum?id=Sk2u1g-0-</t>
  </si>
  <si>
    <t>RoboSumo</t>
  </si>
  <si>
    <t>https://github.com/openai/robosumo</t>
  </si>
  <si>
    <t>Compressing Word Embeddings via Deep Compositional Code Learning</t>
  </si>
  <si>
    <t>https://openreview.net/forum?id=BJRZzFlRb</t>
  </si>
  <si>
    <t>f IMDB movie review dataset</t>
  </si>
  <si>
    <t>Algorithms for Trip-Vehicle Assignment in Ride-Sharing</t>
  </si>
  <si>
    <t>https://aaai.org/ocs/index.php/AAAI/AAAI18/paper/view/16583</t>
  </si>
  <si>
    <t>Generated</t>
  </si>
  <si>
    <t>sampled data</t>
  </si>
  <si>
    <t>EAD: Elastic-Net Attacks to Deep Neural Networks via Adversarial Examples</t>
  </si>
  <si>
    <t>https://aaai.org/ocs/index.php/AAAI/AAAI18/paper/view/16893</t>
  </si>
  <si>
    <t>https://aaai.org/ocs/index.php/AAAI/AAAI18/paper/view/16894</t>
  </si>
  <si>
    <t>https://aaai.org/ocs/index.php/AAAI/AAAI18/paper/view/16895</t>
  </si>
  <si>
    <t>Learning Differences between Visual Scanning Patterns Can Disambiguate Bipolar and Unipolar Patients</t>
  </si>
  <si>
    <t>https://aaai.org/ocs/index.php/AAAI/AAAI18/paper/view/16184</t>
  </si>
  <si>
    <t>73 patients with Bipolar or Major Depressive Disorder</t>
  </si>
  <si>
    <t>Comparing Population Means under Local Differential Privacy: with Significance and Power</t>
  </si>
  <si>
    <t>https://aaai.org/ocs/index.php/AAAI/AAAI18/paper/view/16738</t>
  </si>
  <si>
    <t>Unspecified real world data</t>
  </si>
  <si>
    <t>http://aclweb.org/anthology/P18-2066</t>
  </si>
  <si>
    <t>ACE2005 dataset</t>
  </si>
  <si>
    <t>http://aclweb.org/anthology/P18-1144</t>
  </si>
  <si>
    <t>http://aclweb.org/anthology/P18-1145</t>
  </si>
  <si>
    <t>MSRA</t>
  </si>
  <si>
    <t>http://aclweb.org/anthology/P18-1146</t>
  </si>
  <si>
    <t>Weibo NER</t>
  </si>
  <si>
    <t>http://aclweb.org/anthology/P18-1147</t>
  </si>
  <si>
    <t>Chinese resume dataset (annotated by authors)</t>
  </si>
  <si>
    <t>http://aclweb.org/anthology/P18-1254</t>
  </si>
  <si>
    <t>EEG dataset collected by authors</t>
  </si>
  <si>
    <t>EEG data isn't PHI because it isn't collected by a "covered entity"</t>
  </si>
  <si>
    <t>http://aclweb.org/anthology/P18-1255</t>
  </si>
  <si>
    <t>Alice's Adventures in Wonderland audio</t>
  </si>
  <si>
    <t>Parallel Wikipedia Simplification Corpus (PWKP)</t>
  </si>
  <si>
    <t>http://aclweb.org/anthology/N18-1019</t>
  </si>
  <si>
    <t>English Wikipedia and Simple English
Wikipedia (EW-SEW)</t>
  </si>
  <si>
    <t>http://aclweb.org/anthology/N18-1020</t>
  </si>
  <si>
    <t>Large Scale Chinese Social Media Short Text Summarization Dataset (LCSTS):</t>
  </si>
  <si>
    <t>MTurk annotations of Newsela corpus</t>
  </si>
  <si>
    <t>Created and released by authors.</t>
  </si>
  <si>
    <t>WordNet</t>
  </si>
  <si>
    <t>http://aclweb.org/anthology/N18-1021</t>
  </si>
  <si>
    <t>Paraphrase Database (PPDB)</t>
  </si>
  <si>
    <t>http://aclweb.org/anthology/N18-1022</t>
  </si>
  <si>
    <t>Simple Paraphrase Database (SimplePPDB)</t>
  </si>
  <si>
    <t>SimpleQuestions</t>
  </si>
  <si>
    <t>FB5M subset of Freebase</t>
  </si>
  <si>
    <t>Decomposition of Uncertainty in Bayesian Deep Learning for Efficient and Risk-sensitive Learning</t>
  </si>
  <si>
    <t>http://proceedings.mlr.press/v80/depeweg18a.html</t>
  </si>
  <si>
    <t>Heteroscedastic (simulated)</t>
  </si>
  <si>
    <t>generative process specified</t>
  </si>
  <si>
    <t>Bimodal (simulated)</t>
  </si>
  <si>
    <t>Wet-Chicken</t>
  </si>
  <si>
    <t>Large-Scale Cox Process Inference using Variational Fourier Features</t>
  </si>
  <si>
    <t>http://proceedings.mlr.press/v80/john18a.html</t>
  </si>
  <si>
    <t>Synthetic</t>
  </si>
  <si>
    <t>Porto taxi trajectory dataset</t>
  </si>
  <si>
    <t>Predict and Constrain: Modeling Cardinality in Deep Structured Prediction</t>
  </si>
  <si>
    <t>http://proceedings.mlr.press/v80/brukhim18a.html</t>
  </si>
  <si>
    <t>Bibtex</t>
  </si>
  <si>
    <t>Tests on NLP task</t>
  </si>
  <si>
    <t>Delicious</t>
  </si>
  <si>
    <t>https://papers.nips.cc/paper/7879-l4-practical-loss-based-stepsize-adaptation-for-deep-learning.pdf</t>
  </si>
  <si>
    <t>Bookmarks</t>
  </si>
  <si>
    <t>Local Convergence Properties of SAGA/Prox-SVRG and Acceleration</t>
  </si>
  <si>
    <t>https://papers.nips.cc/paper/8227-learning-to-share-and-hide-intentions-using-information-regularization.pdf</t>
  </si>
  <si>
    <t>http://proceedings.mlr.press/v80/poon18a.html</t>
  </si>
  <si>
    <t>https://papers.nips.cc/paper/7739-densely-connected-attention-propagation-for-reading-comprehension.pdf</t>
  </si>
  <si>
    <t>LIBSVM (mushrooms)</t>
  </si>
  <si>
    <t>N/A</t>
  </si>
  <si>
    <t>https://papers.nips.cc/paper/7607-hybrid-mst-a-hybrid-active-sampling-strategy-for-pairwise-preference-aggregation.pdf</t>
  </si>
  <si>
    <t>LIBSVM (rcv1.binary)</t>
  </si>
  <si>
    <t>https://papers.nips.cc/paper/7818-adversarially-robust-optimization-with-gaussian-processes.pdf</t>
  </si>
  <si>
    <t>MuseGAN: Multi-track Sequential Generative Adversarial Networks for Symbolic Music Generation and Accompaniment</t>
  </si>
  <si>
    <t>https://aaai.org/ocs/index.php/AAAI/AAAI18/paper/view/17286</t>
  </si>
  <si>
    <t>https://papers.nips.cc/paper/8061-deep-network-for-the-integrated-3d-sensing-of-multiple-people-in-natural-images.pdf</t>
  </si>
  <si>
    <t>Lakh Pianoroll Dataset</t>
  </si>
  <si>
    <t>https://papers.nips.cc/paper/7589-deep-complex-invertible-networks-for-inversion-of-transmission-effects-in-multimode-optical-fibres.pdf</t>
  </si>
  <si>
    <t>Picasso, Matisse, or a Fake? Automated Analysis of Drawings at the Stroke Level for Attribution and Authentication</t>
  </si>
  <si>
    <t>https://aaai.org/ocs/index.php/AAAI/AAAI18/paper/view/17356</t>
  </si>
  <si>
    <t>https://papers.nips.cc/paper/8007-neural-architecture-optimization.pdf</t>
  </si>
  <si>
    <t>Learning Deep Structured Active Contours End-to-End</t>
  </si>
  <si>
    <t>Vaihingen</t>
  </si>
  <si>
    <t>http://proceedings.mlr.press/v80/fruit18a.html</t>
  </si>
  <si>
    <t>http://proceedings.mlr.press/v80/ott18a.html</t>
  </si>
  <si>
    <t>Bing Huts</t>
  </si>
  <si>
    <t>http://proceedings.mlr.press/v80/kondor18a.html</t>
  </si>
  <si>
    <t>http://proceedings.mlr.press/v80/chen18h.html</t>
  </si>
  <si>
    <t>http://proceedings.mlr.press/v80/oliva18a.html</t>
  </si>
  <si>
    <t>TorontoCity</t>
  </si>
  <si>
    <t>Beyond Distributive Fairness in Algorithmic Decision Making: Feature Selection for Procedurally Fair Learning</t>
  </si>
  <si>
    <t>https://aaai.org/ocs/index.php/AAAI/AAAI18/paper/view/16523</t>
  </si>
  <si>
    <t>http://proceedings.mlr.press/v80/ghosh18a.html</t>
  </si>
  <si>
    <t>http://proceedings.mlr.press/v80/diakonikolas18a.html</t>
  </si>
  <si>
    <t>ProPublica COMPAS dataset</t>
  </si>
  <si>
    <t>https://aaai.org/ocs/index.php/AAAI/AAAI18/paper/view/16524</t>
  </si>
  <si>
    <t>http://proceedings.mlr.press/v80/lu18d.html</t>
  </si>
  <si>
    <t>SQF Dataset</t>
  </si>
  <si>
    <t>Distributed Composite Quantization</t>
  </si>
  <si>
    <t>https://aaai.org/ocs/index.php/AAAI/AAAI18/paper/view/16470</t>
  </si>
  <si>
    <t>https://aaai.org/ocs/index.php/AAAI/AAAI18/paper/view/16471</t>
  </si>
  <si>
    <t>LabelMe22K</t>
  </si>
  <si>
    <t>https://aaai.org/ocs/index.php/AAAI/AAAI18/paper/view/16472</t>
  </si>
  <si>
    <t>INRIA Holidays</t>
  </si>
  <si>
    <t>https://aaai.org/ocs/index.php/AAAI/AAAI18/paper/view/16473</t>
  </si>
  <si>
    <t>UK Bench</t>
  </si>
  <si>
    <t>https://aaai.org/ocs/index.php/AAAI/AAAI18/paper/view/16474</t>
  </si>
  <si>
    <t>SIFT1M</t>
  </si>
  <si>
    <t>https://aaai.org/ocs/index.php/AAAI/AAAI18/paper/view/16475</t>
  </si>
  <si>
    <t>MIRFlickr1M</t>
  </si>
  <si>
    <t>Resolving Abstract Anaphora in Conversational Assistants using a Hierarchically-stacked RNN</t>
  </si>
  <si>
    <t>https://www.kdd.org/kdd2018/accepted-papers/view/resolving-abstract-anaphora-in-conversational-assistants-using-a-hierarchic</t>
  </si>
  <si>
    <t>https://openreview.net/forum?id=Bys4ob-Rb</t>
  </si>
  <si>
    <t>https://openreview.net/forum?id=rkr1UDeC-</t>
  </si>
  <si>
    <t>Leave</t>
  </si>
  <si>
    <t>https://openreview.net/forum?id=HyyP33gAZ</t>
  </si>
  <si>
    <t>https://openreview.net/forum?id=SJiHXGWAZ</t>
  </si>
  <si>
    <t>https://openreview.net/forum?id=Sy2ogebAW</t>
  </si>
  <si>
    <t>TCS Public Leave</t>
  </si>
  <si>
    <t>https://openreview.net/forum?id=BJuWrGW0Z</t>
  </si>
  <si>
    <t>Yelp '13</t>
  </si>
  <si>
    <t>Leveraging Meta-path based Context for Top N recommendation with Co-attention mechanism</t>
  </si>
  <si>
    <t>https://www.kdd.org/kdd2018/accepted-papers/view/leveraging-meta-path-based-context-for-top-n-recommendation-with-co-attenti</t>
  </si>
  <si>
    <t>MovieLens</t>
  </si>
  <si>
    <t>LastFM</t>
  </si>
  <si>
    <t>https://www.kdd.org/kdd2018/accepted-papers/view/scalable-spectral-clustering-using-random-binning-features</t>
  </si>
  <si>
    <t>https://www.kdd.org/kdd2018/accepted-papers/view/training-big-random-forests-with-little-resources</t>
  </si>
  <si>
    <t>Yelp</t>
  </si>
  <si>
    <t>Analyzing Uncertainty in Neural Machine Translation</t>
  </si>
  <si>
    <t>General, NLP</t>
  </si>
  <si>
    <t>https://www.kdd.org/kdd2018/accepted-papers/view/scalable-active-learning-by-approximated-error-reduction</t>
  </si>
  <si>
    <t>WMT’14 English-German (En-De)</t>
  </si>
  <si>
    <t>https://www.kdd.org/kdd2018/accepted-papers/view/easing-embedding-learning-by-comprehensive-transcription-of-heterogeneous-i</t>
  </si>
  <si>
    <t>https://www.kdd.org/kdd2018/accepted-papers/view/exploring-student-check-in-behavior-for-improved-point-of-interest-predicti</t>
  </si>
  <si>
    <t>WMT’17 English-German (En-De)</t>
  </si>
  <si>
    <t>https://www.kdd.org/kdd2018/accepted-papers/view/algorithms-for-hiring-and-outsourcing-in-the-online-labor-market</t>
  </si>
  <si>
    <t>WMT’14 English-French (En-Fr)</t>
  </si>
  <si>
    <t>Efficient Bias-Span-Constrained Exploration-Exploitation in Reinforcement Learning</t>
  </si>
  <si>
    <t>Learning to Share and Hide Intentions using Information Regularization</t>
  </si>
  <si>
    <t>Grid World (simulated)</t>
  </si>
  <si>
    <t>https://aaai.org/ocs/index.php/AAAI/AAAI18/paper/view/16380</t>
  </si>
  <si>
    <t>Key-and-door (simulated)</t>
  </si>
  <si>
    <t>L4: Practical loss-based stepsize adaptation for deep learning</t>
  </si>
  <si>
    <t>https://aaai.org/ocs/index.php/AAAI/AAAI18/paper/view/16074</t>
  </si>
  <si>
    <t>https://aaai.org/ocs/index.php/AAAI/AAAI18/paper/view/16488</t>
  </si>
  <si>
    <t>Fashion MNIST</t>
  </si>
  <si>
    <t>DNC</t>
  </si>
  <si>
    <t>Automated Essay Scoring in the Presence of Biased Ratings</t>
  </si>
  <si>
    <t>Essay Corpus</t>
  </si>
  <si>
    <t>Hearst Patterns Revisited: Automatic Hypernym Detection from Large Text Corpora</t>
  </si>
  <si>
    <t>BLESS</t>
  </si>
  <si>
    <t>https://acl2018.org/paper/758</t>
  </si>
  <si>
    <t>LEDS</t>
  </si>
  <si>
    <t>https://acl2018.org/paper/759</t>
  </si>
  <si>
    <t>EVAL</t>
  </si>
  <si>
    <t>https://acl2018.org/paper/760</t>
  </si>
  <si>
    <t>SHWARTZ</t>
  </si>
  <si>
    <t>https://acl2018.org/paper/761</t>
  </si>
  <si>
    <t>WBLESS</t>
  </si>
  <si>
    <t>Synthetic Data Made to Order: The Case of Parsing</t>
  </si>
  <si>
    <t>http://aclweb.org/anthology/D18-1163</t>
  </si>
  <si>
    <t>Universal Dependencies v1.2</t>
  </si>
  <si>
    <t>Non-Markovian Globally Consistent Multi-Object Tracking</t>
  </si>
  <si>
    <t>Duke</t>
  </si>
  <si>
    <t>Town</t>
  </si>
  <si>
    <t>Hotel</t>
  </si>
  <si>
    <t>Station</t>
  </si>
  <si>
    <t>ETH</t>
  </si>
  <si>
    <t>Rene</t>
  </si>
  <si>
    <t>Visual Question Answering as a Meta Learning Task</t>
  </si>
  <si>
    <t>VQA v2</t>
  </si>
  <si>
    <t>Certified Defenses against Adversarial Examples</t>
  </si>
  <si>
    <t>MNIS</t>
  </si>
  <si>
    <t>Large scale distributed neural network training through online distillation</t>
  </si>
  <si>
    <t>Common Crawl</t>
  </si>
  <si>
    <t>Criteo Display Ad Challenge</t>
  </si>
  <si>
    <t>ACTIVATION MAXIMIZATION GENERATIVE ADVERSARIAL NETS</t>
  </si>
  <si>
    <t>TINY-IMAGENET</t>
  </si>
  <si>
    <t>Diffusion Convolutional Recurrent Neural Network: Data-Driven Traffic Forecasting</t>
  </si>
  <si>
    <t>METR-LA</t>
  </si>
  <si>
    <t>PEMS-BAY</t>
  </si>
  <si>
    <t>Unsupervised Neural Machine Translation</t>
  </si>
  <si>
    <t>WMT 2014 shared task</t>
  </si>
  <si>
    <t>Densely Connected Attention Propagation for Reading Comprehension</t>
  </si>
  <si>
    <t>NewsQA</t>
  </si>
  <si>
    <t>SearchQA</t>
  </si>
  <si>
    <t>NarrativeQA</t>
  </si>
  <si>
    <t>Quasar-T</t>
  </si>
  <si>
    <t>Content-Based Citation Recommendation</t>
  </si>
  <si>
    <t>DBLP</t>
  </si>
  <si>
    <t>http://aclweb.org/anthology/N18-1023</t>
  </si>
  <si>
    <t>OpenCorpus</t>
  </si>
  <si>
    <t>http://aclweb.org/anthology/N18-1024</t>
  </si>
  <si>
    <t>PubMed</t>
  </si>
  <si>
    <t>Hybrid-MST: A Hybrid Active Sampling Strategy for Pairwise Preference Aggregation</t>
  </si>
  <si>
    <t>Video Quality Assessment(VQA)</t>
  </si>
  <si>
    <t>Image Quality Assessment (IQA)</t>
  </si>
  <si>
    <t>Adversarially Robust Optimization with Gaussian Processes</t>
  </si>
  <si>
    <t>MovieLens-100K</t>
  </si>
  <si>
    <t>Deep Network for the Integrated 3D Sensing of Multiple People in Natural Images</t>
  </si>
  <si>
    <t>Human3.6m</t>
  </si>
  <si>
    <t>CMU Panoptic</t>
  </si>
  <si>
    <t>On the Generalization of Equivariance and Convolution in Neural Networks to the Action of Compact Groups</t>
  </si>
  <si>
    <t xml:space="preserve">Theoretical Statistics </t>
  </si>
  <si>
    <t>Looking Beyond the Surface: A Challenge Set for Reading Comprehension over Multiple Sentences</t>
  </si>
  <si>
    <t>MultiRC</t>
  </si>
  <si>
    <t>Dataset paper</t>
  </si>
  <si>
    <t>Deep, complex, invertible networks for inversion of transmission effects in multimode optical fibres</t>
  </si>
  <si>
    <t>Optical fibre inverse problem Benchmark collection</t>
  </si>
  <si>
    <t>released with the paper</t>
  </si>
  <si>
    <t>Neural Architecture Optimization</t>
  </si>
  <si>
    <t>CIFAR-10/100</t>
  </si>
  <si>
    <t>PTB</t>
  </si>
  <si>
    <t>WikiText-2</t>
  </si>
  <si>
    <t>Zero-shot Sequence Labeling:
Transferring Knowledge from Sentences to Tokens</t>
  </si>
  <si>
    <t>http://aclweb.org/anthology/N18-1027</t>
  </si>
  <si>
    <t>Bioscope</t>
  </si>
  <si>
    <t>Bioscope has PI in med, its unclear if Med was used</t>
  </si>
  <si>
    <t>http://aclweb.org/anthology/N18-1028</t>
  </si>
  <si>
    <t>FCE</t>
  </si>
  <si>
    <t>http://aclweb.org/anthology/N18-1029</t>
  </si>
  <si>
    <t>SemEval Sentiment Detection in Twitter</t>
  </si>
  <si>
    <t>PixelSNAIL: An Improved Autoregressive Generative Model</t>
  </si>
  <si>
    <t>32×32 ImageNet</t>
  </si>
  <si>
    <t>64×64 ImageNet</t>
  </si>
  <si>
    <t>Transformation Autoregressive Networks</t>
  </si>
  <si>
    <t>power</t>
  </si>
  <si>
    <t>gas</t>
  </si>
  <si>
    <t>hepmass</t>
  </si>
  <si>
    <t>minibone</t>
  </si>
  <si>
    <t>BSDS300</t>
  </si>
  <si>
    <t>Tensorized Projection for High-Dimensional Binary Embedding</t>
  </si>
  <si>
    <t>MIRFLICKR-1M</t>
  </si>
  <si>
    <t>https://aaai.org/ocs/index.php/AAAI/AAAI18/paper/view/16381</t>
  </si>
  <si>
    <t>Holidays + MIRFlickr-1M</t>
  </si>
  <si>
    <t>Structured Variational Learning of Bayesian Neural Networks with Horseshoe Priors</t>
  </si>
  <si>
    <t>UCI datasets</t>
  </si>
  <si>
    <t>Some of those are Med, but mostly numerical</t>
  </si>
  <si>
    <t>Predicting Aesthetic Score Distribution Through Cumulative Jensen-Shannon Divergence</t>
  </si>
  <si>
    <t>AVA</t>
  </si>
  <si>
    <t>Norm Conflict Resolution in Stochastic Domains</t>
  </si>
  <si>
    <t>Deep Representation-Decoupling Neural Networks for Monaural Music Mixture Separation</t>
  </si>
  <si>
    <t>https://aaai.org/ocs/index.php/AAAI/AAAI18/paper/view/16733/15675</t>
  </si>
  <si>
    <t>DSD100</t>
  </si>
  <si>
    <t>Early Prediction of Diabetes Complications from Electronic Health Records: A Multi-Task Survival Analysis Approach</t>
  </si>
  <si>
    <t>General, ML4H</t>
  </si>
  <si>
    <t>https://aaai.org/ocs/index.php/AAAI/AAAI18/paper/view/16199/15676</t>
  </si>
  <si>
    <t>MarketScan Commercial Claims and Encounter</t>
  </si>
  <si>
    <t>from Truven Health</t>
  </si>
  <si>
    <t>Rumor Detection on Twitter with Tree-structured Recursive Neural Networks</t>
  </si>
  <si>
    <t>Twitter15</t>
  </si>
  <si>
    <t>https://acl2018.org/paper/1039</t>
  </si>
  <si>
    <t>Twitter16</t>
  </si>
  <si>
    <t xml:space="preserve">
Learning the Joint Representation of Heterogeneous Temporal Events for Clinical Endpoint Prediction</t>
  </si>
  <si>
    <t>https://aaai.org/ocs/index.php/AAAI/AAAI18/paper/view/17085/15677</t>
  </si>
  <si>
    <t>Triangular Architecture for Rare Language Translation</t>
  </si>
  <si>
    <t>MultiUN</t>
  </si>
  <si>
    <t>https://acl2018.org/paper/80</t>
  </si>
  <si>
    <t>IWSLT2012</t>
  </si>
  <si>
    <t>A Neural Architecture for Automated ICD Coding</t>
  </si>
  <si>
    <t xml:space="preserve">Ultra-Fine Entity Typing
</t>
  </si>
  <si>
    <t>https://acl2018.org/paper/880</t>
  </si>
  <si>
    <t>custom dataset</t>
  </si>
  <si>
    <t>Coherence-Aware Neural Topic Modeling</t>
  </si>
  <si>
    <t>DailyKOS</t>
  </si>
  <si>
    <t>https://aclanthology.info/papers/D18-1096/d18-1097</t>
  </si>
  <si>
    <t>NIPS</t>
  </si>
  <si>
    <t>https://aclanthology.info/papers/D18-1096/d18-1098</t>
  </si>
  <si>
    <t>NYTimes</t>
  </si>
  <si>
    <t>Fluency Boost Learning and Inference for
Neural Grammatical Error Correction</t>
  </si>
  <si>
    <t>Lang-8 Corpus</t>
  </si>
  <si>
    <t>CLC</t>
  </si>
  <si>
    <t>http://aclweb.org/anthology/P18-1099</t>
  </si>
  <si>
    <t>NUCLE</t>
  </si>
  <si>
    <t>http://aclweb.org/anthology/P18-1100</t>
  </si>
  <si>
    <t>CoNLL2014</t>
  </si>
  <si>
    <t>http://aclweb.org/anthology/P18-1101</t>
  </si>
  <si>
    <t>JFLEG</t>
  </si>
  <si>
    <t>Neural Argument Generation Augmented with Externally Retrieved Evidence</t>
  </si>
  <si>
    <t>Reddit Topic Dataset</t>
  </si>
  <si>
    <t>http://xinyuhua.github.io/Resources/</t>
  </si>
  <si>
    <t>Newly collected</t>
  </si>
  <si>
    <t>An Empirical Study of Building a Strong Baseline for Constituency Parsing</t>
  </si>
  <si>
    <t>PTB Dataset</t>
  </si>
  <si>
    <t>Coherence Modeling of Asynchronous Conversations: A Neural Entity Grid Approach</t>
  </si>
  <si>
    <t>WSJ Dataset</t>
  </si>
  <si>
    <t>https://acl2018.org/paper/845</t>
  </si>
  <si>
    <t>CNET Dataset</t>
  </si>
  <si>
    <t>Soft Layer-Specific Multi-Task Summarization with Entailment and Question Generation</t>
  </si>
  <si>
    <t>CNN/DailyMail</t>
  </si>
  <si>
    <t>https://acl2018.org/paper/1297</t>
  </si>
  <si>
    <t>Gigaword</t>
  </si>
  <si>
    <t>https://acl2018.org/paper/1298</t>
  </si>
  <si>
    <t>DUC-2002 Transfer</t>
  </si>
  <si>
    <t>https://acl2018.org/paper/1299</t>
  </si>
  <si>
    <t>SQuAD</t>
  </si>
  <si>
    <t>https://acl2018.org/paper/1300</t>
  </si>
  <si>
    <t>SNLI Classification</t>
  </si>
  <si>
    <t>Give Me More Feedback: Annotating Argument Persuasiveness and Related Attributes in Student Essays</t>
  </si>
  <si>
    <t>Essay Argument Persuasiveness Dataset</t>
  </si>
  <si>
    <t>Neural Automated Essay Scoring and Coherence Modeling for Adversarially Crafted Input</t>
  </si>
  <si>
    <t>ASAP Dataset</t>
  </si>
  <si>
    <t>https://aclanthology.info/papers/N18-1024/n18-1025</t>
  </si>
  <si>
    <t>Synthetic Dataset</t>
  </si>
  <si>
    <t>Tempo-Lexical Context Driven Word Embedding for Cross-Session Search Task Extraction</t>
  </si>
  <si>
    <t>AOL Query Log</t>
  </si>
  <si>
    <t>https://aclanthology.info/papers/N18-1026/n18-1027</t>
  </si>
  <si>
    <t>ClueWeb12B</t>
  </si>
  <si>
    <t>QuickEdit: Editing Text &amp; Translations by Crossing Words Out</t>
  </si>
  <si>
    <t>IWSLT’14 De-En</t>
  </si>
  <si>
    <t>https://aclanthology.info/papers/N18-1025/n18-1026</t>
  </si>
  <si>
    <t>WMT'14 De-En</t>
  </si>
  <si>
    <t>https://aclanthology.info/papers/N18-1025/n18-1027</t>
  </si>
  <si>
    <t>WMT'14 En-Fr</t>
  </si>
  <si>
    <t>https://aclanthology.info/papers/N18-1025/n18-1028</t>
  </si>
  <si>
    <t>MTC Dataset</t>
  </si>
  <si>
    <t>Algorithms for Hiring and Outsourcing in the Online Labor Market</t>
  </si>
  <si>
    <t>UpWork</t>
  </si>
  <si>
    <t>Freelancer</t>
  </si>
  <si>
    <t>Guru</t>
  </si>
  <si>
    <t>Scalable Spectral Clustering Using Random Binning Features</t>
  </si>
  <si>
    <t>pendigits</t>
  </si>
  <si>
    <t>All from Lib-SVM</t>
  </si>
  <si>
    <t>letter</t>
  </si>
  <si>
    <t>mnist</t>
  </si>
  <si>
    <t>acoustic</t>
  </si>
  <si>
    <t>ijcnn1</t>
  </si>
  <si>
    <t>cod_rna</t>
  </si>
  <si>
    <t>covtype-mult</t>
  </si>
  <si>
    <t>poker</t>
  </si>
  <si>
    <t>Training Big Random Forests with Little Resources</t>
  </si>
  <si>
    <t>covtype</t>
  </si>
  <si>
    <t>UCI</t>
  </si>
  <si>
    <t>susy</t>
  </si>
  <si>
    <t>higgs</t>
  </si>
  <si>
    <t>landsat-osm</t>
  </si>
  <si>
    <t>Scalable Active Learning by Approximated Error Reduction</t>
  </si>
  <si>
    <t>Alphadigits</t>
  </si>
  <si>
    <t>Semeion</t>
  </si>
  <si>
    <t>USPS</t>
  </si>
  <si>
    <t>ISOLET</t>
  </si>
  <si>
    <t>Letter</t>
  </si>
  <si>
    <t>MNISTsM</t>
  </si>
  <si>
    <t>Easing Embedding Learning by Comprehensive Transcription of Heterogeneous Information Networks</t>
  </si>
  <si>
    <t>YAGO</t>
  </si>
  <si>
    <t>Exploring Student Check-In Behavior for Improved Point-of-Interest Prediction</t>
  </si>
  <si>
    <t>PurDue Check-in Data</t>
  </si>
  <si>
    <t>Newly created</t>
  </si>
  <si>
    <t>Dynamic Neural Program Embeddings for Program Repair</t>
  </si>
  <si>
    <t>CodeHunt Platform Dataset</t>
  </si>
  <si>
    <t>Alternating Randomized Block Coordinate Descent</t>
  </si>
  <si>
    <t>BlogFeedback</t>
  </si>
  <si>
    <t>Beyond Finite Layer Neural Networks: Bridging Deep Architectures and Numerical Differential Equations</t>
  </si>
  <si>
    <t>Variable Typing: Assigning Meaning to Variables in Mathematical Text</t>
  </si>
  <si>
    <t>Arxiv Variable Typing</t>
  </si>
  <si>
    <t>Learning beyond Datasets: Knowledge Graph Augmented Neural Networks for Natural Language Processing</t>
  </si>
  <si>
    <t>20 Newsgroups</t>
  </si>
  <si>
    <t>https://aclanthology.info/papers/N18-1029/n18-1030</t>
  </si>
  <si>
    <t>DBPedia</t>
  </si>
  <si>
    <t>https://aclanthology.info/papers/N18-1029/n18-1031</t>
  </si>
  <si>
    <t>Comparing Constraints for Taxonomic Organization</t>
  </si>
  <si>
    <t>https://aclanthology.info/papers/N18-1030/n18-1031</t>
  </si>
  <si>
    <t>ROOT09</t>
  </si>
  <si>
    <t>https://aclanthology.info/papers/N18-1030/n18-1032</t>
  </si>
  <si>
    <t>EVALution</t>
  </si>
  <si>
    <t>https://aclanthology.info/papers/N18-1030/n18-1033</t>
  </si>
  <si>
    <t>K&amp;H+N</t>
  </si>
  <si>
    <t>http://aclweb.org/anthology/D18-1019</t>
  </si>
  <si>
    <t>ACE-2004</t>
  </si>
  <si>
    <t>https://aclanthology.info/papers/D18-1019/d18-1020</t>
  </si>
  <si>
    <t>ACE-2005</t>
  </si>
  <si>
    <t>https://aclanthology.info/papers/D18-1019/d18-1021</t>
  </si>
  <si>
    <t>GENIA</t>
  </si>
  <si>
    <t>Predicting News Headline Popularity with Syntactic and Semantic Knowledge Using Multi-Task Learning</t>
  </si>
  <si>
    <t>Hardt and Rambow Dataset</t>
  </si>
  <si>
    <t>re-curated; original authors on paper</t>
  </si>
  <si>
    <t>ExtRA: Extracting Prominent Review Aspects from Customer Feedback</t>
  </si>
  <si>
    <t>Review Dataset</t>
  </si>
  <si>
    <t>newly curated</t>
  </si>
  <si>
    <t>Interpretable Emoji Prediction via Label-Wise Attention LSTMs</t>
  </si>
  <si>
    <t>SemEval 2018 Emoji Prediction</t>
  </si>
  <si>
    <t>https://aclanthology.info/papers/D18-1508/d18-1509</t>
  </si>
  <si>
    <t>Extended twitter corpus</t>
  </si>
  <si>
    <t>Reducing Gender Bias in Abusive Language Detection</t>
  </si>
  <si>
    <t>Sexist Tweets</t>
  </si>
  <si>
    <t>https://aclanthology.info/papers/D18-1302/d18-1303</t>
  </si>
  <si>
    <t>Abusive Tweets</t>
  </si>
  <si>
    <t>Lexicosyntactic Inference in Neural Models</t>
  </si>
  <si>
    <t>MegaVeridicality1</t>
  </si>
  <si>
    <t>https://aclanthology.info/papers/D18-1501/d18-1502</t>
  </si>
  <si>
    <t>MegaAttitude</t>
  </si>
  <si>
    <t>https://aclanthology.info/papers/D18-1501/d18-1503</t>
  </si>
  <si>
    <t>MegaVeridicality2</t>
  </si>
  <si>
    <t>Syntactical Analysis of the Weaknesses of Sentiment Analyzers</t>
  </si>
  <si>
    <t>Google Cloud Natural Language</t>
  </si>
  <si>
    <t>https://aclanthology.info/papers/D18-1141/d18-1142</t>
  </si>
  <si>
    <t>Stanford CoreNLP</t>
  </si>
  <si>
    <t>Learning Unsupervised Word Translations Without Adversaries</t>
  </si>
  <si>
    <t>http://aclweb.org/anthology/D18-1063</t>
  </si>
  <si>
    <t>En-&gt;It</t>
  </si>
  <si>
    <t>http://aclweb.org/anthology/D18-1064</t>
  </si>
  <si>
    <t>En-Sp</t>
  </si>
  <si>
    <t>http://aclweb.org/anthology/D18-1065</t>
  </si>
  <si>
    <t>En-Ch</t>
  </si>
  <si>
    <t>http://aclweb.org/anthology/D18-1066</t>
  </si>
  <si>
    <t>MUSE</t>
  </si>
  <si>
    <t>https://papers.nips.cc/paper/7348-dialog-based-interactive-image-retrieval.pdf</t>
  </si>
  <si>
    <t>https://papers.nips.cc/paper/7881-turbo-learning-for-captionbot-and-drawingbot.pdf</t>
  </si>
  <si>
    <t>https://papers.nips.cc/paper/7854-deep-state-space-models-for-unconditional-word-generation.pdf</t>
  </si>
  <si>
    <t>https://papers.nips.cc/paper/7408-frage-frequency-agnostic-word-representation.pdf</t>
  </si>
  <si>
    <t>https://papers.nips.cc/paper/7723-recurrently-controlled-recurrent-networks.pdf</t>
  </si>
  <si>
    <t>https://papers.nips.cc/paper/7959-unsupervised-text-style-transfer-using-language-models-as-discriminators.pdf</t>
  </si>
  <si>
    <t>https://papers.nips.cc/paper/7914-efficient-gradient-computation-for-structured-output-learning-with-rational-and-tropical-losses.pdf</t>
  </si>
  <si>
    <t>https://papers.nips.cc/paper/8295-groupreduce-block-wise-low-rank-approximation-for-neural-language-model-shrinking.pdf</t>
  </si>
  <si>
    <t>https://papers.nips.cc/paper/7409-generative-neural-machine-translation.pdf</t>
  </si>
  <si>
    <t>https://papers.nips.cc/paper/7717-adversarial-text-generation-via-feature-movers-distance.pdf</t>
  </si>
  <si>
    <t>https://papers.nips.cc/paper/8204-memory-augmented-policy-optimization-for-program-synthesis-and-semantic-parsing.pdf</t>
  </si>
  <si>
    <t>https://papers.nips.cc/paper/7965-unsupervised-cross-modal-alignment-of-speech-and-text-embedding-spaces.pdf</t>
  </si>
  <si>
    <t>https://papers.nips.cc/paper/8117-reversible-recurrent-neural-networks.pdf</t>
  </si>
  <si>
    <t>https://papers.nips.cc/paper/8246-using-trusted-data-to-train-deep-networks-on-labels-corrupted-by-severe-noise.pdf</t>
  </si>
  <si>
    <t>https://papers.nips.cc/paper/8018-learning-to-repair-software-vulnerabilities-with-generative-adversarial-networks.pdf</t>
  </si>
  <si>
    <t>https://papers.nips.cc/paper/7983-towards-text-generation-with-adversarially-learned-neural-outlines.pdf</t>
  </si>
  <si>
    <t>https://papers.nips.cc/paper/7757-content-preserving-text-generation-with-attribute-controls.pdf</t>
  </si>
  <si>
    <t>https://papers.nips.cc/paper/7558-dialog-to-action-conversational-question-answering-over-a-large-scale-knowledge-base.pdf</t>
  </si>
  <si>
    <t>https://papers.nips.cc/paper/7346-a-neural-compositional-paradigm-for-image-captioning.pdf</t>
  </si>
  <si>
    <t>https://papers.nips.cc/paper/8019-layer-wise-coordination-between-encoder-and-decoder-for-neural-machine-translation.pdf</t>
  </si>
  <si>
    <t>https://papers.nips.cc/paper/8152-the-global-anchor-method-for-quantifying-linguistic-shifts-and-domain-adaptation.pdf</t>
  </si>
  <si>
    <t>https://papers.nips.cc/paper/8179-latent-alignment-and-variational-attention.pdf</t>
  </si>
  <si>
    <t>https://papers.nips.cc/paper/8163-e-snli-natural-language-inference-with-natural-language-explanations.pdf</t>
  </si>
  <si>
    <t>https://papers.nips.cc/paper/7868-navigating-with-graph-representations-for-fast-and-scalable-decoding-of-neural-language-models.pdf</t>
  </si>
  <si>
    <t>https://papers.nips.cc/paper/7615-learn-what-not-to-learn-action-elimination-with-deep-reinforcement-learning.pdf</t>
  </si>
  <si>
    <t>https://papers.nips.cc/paper/7986-diffusion-maps-for-textual-network-embedding.pdf</t>
  </si>
  <si>
    <t>https://papers.nips.cc/paper/7458-partially-supervised-image-captioning.pdf</t>
  </si>
  <si>
    <t>https://papers.nips.cc/paper/7848-macnet-transferring-knowledge-from-machine-comprehension-to-sequence-to-sequence-models.pdf</t>
  </si>
  <si>
    <t>https://papers.nips.cc/paper/7377-learning-semantic-similarity-in-a-continuous-space.pdf</t>
  </si>
  <si>
    <t>https://papers.nips.cc/paper/7592-speaker-follower-models-for-vision-and-language-navigation.pdf</t>
  </si>
  <si>
    <t>https://papers.nips.cc/paper/8209-a-retrieve-and-edit-framework-for-predicting-structured-outputs.pdf</t>
  </si>
  <si>
    <t>https://papers.nips.cc/paper/7443-distilled-wasserstein-learning-for-word-embedding-and-topic-modeling.pdf</t>
  </si>
  <si>
    <t>https://papers.nips.cc/paper/7368-on-the-dimensionality-of-word-embedding.pdf</t>
  </si>
  <si>
    <t>https://papers.nips.cc/paper/7695-semi-supervised-learning-with-declaratively-specified-entropy-constraints.pdf</t>
  </si>
  <si>
    <t>https://papers.nips.cc/paper/7452-generating-informative-and-diverse-conversational-responses-via-adversarial-information-maximization.pdf</t>
  </si>
  <si>
    <t>https://papers.nips.cc/paper/7897-incorporating-context-into-language-encoding-models-for-fmri.pdf</t>
  </si>
  <si>
    <t>https://papers.nips.cc/paper/7780-hyperbolic-neural-networks.pdf</t>
  </si>
  <si>
    <t>https://papers.nips.cc/paper/7426-hybrid-retrieval-generation-reinforced-agent-for-medical-image-report-generation.pdf</t>
  </si>
  <si>
    <t>https://papers.nips.cc/paper/8083-multilingual-anchoring-interactive-topic-modeling-and-alignment-across-languages.pdf</t>
  </si>
  <si>
    <r>
      <t xml:space="preserve">self-collected hand hygeine detection, ICU activity logging, and RGB Images (kincet trace logs + ICU activity logs from </t>
    </r>
    <r>
      <rPr>
        <i/>
        <sz val="10"/>
        <color theme="1"/>
        <rFont val="Arial"/>
        <family val="2"/>
      </rPr>
      <t>one</t>
    </r>
    <r>
      <rPr>
        <sz val="10"/>
        <color theme="1"/>
        <rFont val="Arial"/>
        <family val="2"/>
      </rPr>
      <t xml:space="preserve"> institution)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</si>
</sst>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2"/>
      <color rgb="FF18BC9C"/>
      <name val="Calibri"/>
    </font>
    <font>
      <u/>
      <sz val="12"/>
      <color rgb="FF0563C1"/>
      <name val="Calibri"/>
    </font>
    <font>
      <sz val="11"/>
      <color rgb="FF000000"/>
      <name val="Arial"/>
    </font>
    <font>
      <sz val="11"/>
      <color rgb="FF000000"/>
      <name val="CMR10"/>
    </font>
    <font>
      <sz val="11"/>
      <color rgb="FF000000"/>
      <name val="SFRM1095"/>
    </font>
    <font>
      <u/>
      <sz val="12"/>
      <color rgb="FF000000"/>
      <name val="Calibri"/>
    </font>
    <font>
      <u/>
      <sz val="10"/>
      <color rgb="FF0000FF"/>
      <name val="Arial"/>
    </font>
    <font>
      <sz val="10"/>
      <color rgb="FF000000"/>
      <name val="Arial"/>
    </font>
    <font>
      <u/>
      <sz val="11"/>
      <color rgb="FF18BC9C"/>
      <name val="Roboto"/>
    </font>
    <font>
      <sz val="10"/>
      <color rgb="FF18BC9C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1"/>
      <color rgb="FF000000"/>
      <name val="Inconsolata"/>
    </font>
    <font>
      <u/>
      <sz val="10"/>
      <color rgb="FF000000"/>
      <name val="Arial"/>
    </font>
    <font>
      <b/>
      <sz val="10"/>
      <name val="Arial"/>
    </font>
    <font>
      <u/>
      <sz val="10"/>
      <color rgb="FF000000"/>
      <name val="Arial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</font>
    <font>
      <u/>
      <sz val="12"/>
      <color theme="1"/>
      <name val="Calibri"/>
      <family val="2"/>
    </font>
    <font>
      <sz val="12"/>
      <color theme="1"/>
      <name val="Calibri"/>
      <family val="2"/>
    </font>
    <font>
      <u/>
      <sz val="11"/>
      <color theme="1"/>
      <name val="Roboto"/>
    </font>
    <font>
      <i/>
      <sz val="10"/>
      <color theme="1"/>
      <name val="Arial"/>
      <family val="2"/>
    </font>
    <font>
      <sz val="10"/>
      <color theme="1"/>
      <name val="Roboto"/>
    </font>
    <font>
      <u/>
      <sz val="10"/>
      <color theme="1"/>
      <name val="-apple-system"/>
    </font>
    <font>
      <u/>
      <sz val="10"/>
      <color theme="1"/>
      <name val="Sans-serif"/>
    </font>
    <font>
      <sz val="15"/>
      <color theme="1"/>
      <name val="Lato"/>
    </font>
    <font>
      <u/>
      <sz val="10"/>
      <color theme="1"/>
      <name val="Inherit"/>
    </font>
    <font>
      <sz val="11"/>
      <color theme="1"/>
      <name val="Helvetica"/>
      <family val="2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1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wrapText="1"/>
    </xf>
    <xf numFmtId="0" fontId="9" fillId="0" borderId="0" xfId="0" applyFont="1" applyAlignment="1"/>
    <xf numFmtId="0" fontId="2" fillId="0" borderId="0" xfId="0" applyFont="1" applyAlignment="1">
      <alignment wrapText="1"/>
    </xf>
    <xf numFmtId="0" fontId="11" fillId="2" borderId="0" xfId="0" applyFont="1" applyFill="1" applyAlignment="1"/>
    <xf numFmtId="0" fontId="12" fillId="0" borderId="0" xfId="0" applyFont="1" applyAlignment="1"/>
    <xf numFmtId="0" fontId="12" fillId="0" borderId="0" xfId="0" applyFont="1"/>
    <xf numFmtId="0" fontId="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0" borderId="0" xfId="0" applyFont="1" applyAlignment="1"/>
    <xf numFmtId="0" fontId="14" fillId="0" borderId="0" xfId="0" applyFont="1" applyAlignment="1"/>
    <xf numFmtId="0" fontId="15" fillId="2" borderId="0" xfId="0" applyFont="1" applyFill="1"/>
    <xf numFmtId="0" fontId="15" fillId="2" borderId="0" xfId="0" applyFont="1" applyFill="1"/>
    <xf numFmtId="0" fontId="10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10" fontId="2" fillId="0" borderId="0" xfId="0" applyNumberFormat="1" applyFont="1"/>
    <xf numFmtId="0" fontId="2" fillId="3" borderId="0" xfId="0" applyFont="1" applyFill="1"/>
    <xf numFmtId="0" fontId="18" fillId="0" borderId="0" xfId="0" applyFont="1" applyAlignment="1">
      <alignment wrapText="1"/>
    </xf>
    <xf numFmtId="0" fontId="19" fillId="0" borderId="0" xfId="0" applyFont="1" applyFill="1" applyAlignment="1"/>
    <xf numFmtId="0" fontId="19" fillId="0" borderId="0" xfId="0" applyFont="1" applyFill="1" applyAlignment="1">
      <alignment wrapText="1"/>
    </xf>
    <xf numFmtId="0" fontId="20" fillId="0" borderId="0" xfId="0" applyFont="1" applyFill="1" applyAlignment="1"/>
    <xf numFmtId="0" fontId="19" fillId="0" borderId="0" xfId="0" applyFont="1" applyFill="1"/>
    <xf numFmtId="0" fontId="22" fillId="0" borderId="0" xfId="0" applyFont="1" applyFill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19" fillId="0" borderId="0" xfId="0" applyFont="1" applyFill="1" applyAlignment="1">
      <alignment horizontal="right"/>
    </xf>
    <xf numFmtId="0" fontId="23" fillId="0" borderId="0" xfId="0" applyFont="1" applyFill="1" applyAlignment="1">
      <alignment horizontal="right" wrapText="1"/>
    </xf>
    <xf numFmtId="0" fontId="24" fillId="0" borderId="0" xfId="0" applyFont="1" applyFill="1" applyAlignment="1"/>
    <xf numFmtId="0" fontId="26" fillId="0" borderId="0" xfId="0" applyFont="1" applyFill="1" applyAlignment="1"/>
    <xf numFmtId="0" fontId="27" fillId="0" borderId="0" xfId="0" applyFont="1" applyFill="1" applyAlignment="1"/>
    <xf numFmtId="0" fontId="28" fillId="0" borderId="0" xfId="0" applyFont="1" applyFill="1" applyAlignment="1"/>
    <xf numFmtId="0" fontId="29" fillId="0" borderId="0" xfId="0" applyFont="1" applyFill="1"/>
    <xf numFmtId="0" fontId="30" fillId="0" borderId="0" xfId="0" applyFont="1" applyFill="1" applyAlignment="1"/>
    <xf numFmtId="0" fontId="20" fillId="0" borderId="0" xfId="0" applyFont="1" applyFill="1"/>
    <xf numFmtId="0" fontId="31" fillId="0" borderId="0" xfId="0" applyFont="1" applyFill="1" applyAlignment="1"/>
    <xf numFmtId="0" fontId="21" fillId="0" borderId="0" xfId="0" applyFont="1" applyFill="1" applyAlignment="1"/>
    <xf numFmtId="0" fontId="3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190500</xdr:colOff>
      <xdr:row>2</xdr:row>
      <xdr:rowOff>127000</xdr:rowOff>
    </xdr:from>
    <xdr:to>
      <xdr:col>15</xdr:col>
      <xdr:colOff>190500</xdr:colOff>
      <xdr:row>6</xdr:row>
      <xdr:rowOff>50800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17D882E1-19BE-A746-8CAF-168CE4BB1418}"/>
            </a:ext>
          </a:extLst>
        </xdr:cNvPr>
        <xdr:cNvSpPr txBox="1">
          <a:spLocks noChangeArrowheads="1"/>
        </xdr:cNvSpPr>
      </xdr:nvSpPr>
      <xdr:spPr bwMode="auto">
        <a:xfrm>
          <a:off x="13843000" y="508000"/>
          <a:ext cx="4191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190500</xdr:colOff>
      <xdr:row>2</xdr:row>
      <xdr:rowOff>127000</xdr:rowOff>
    </xdr:from>
    <xdr:to>
      <xdr:col>14</xdr:col>
      <xdr:colOff>190500</xdr:colOff>
      <xdr:row>6</xdr:row>
      <xdr:rowOff>50800</xdr:rowOff>
    </xdr:to>
    <xdr:sp macro="" textlink="">
      <xdr:nvSpPr>
        <xdr:cNvPr id="1031" name="Text Box 7" hidden="1">
          <a:extLst>
            <a:ext uri="{FF2B5EF4-FFF2-40B4-BE49-F238E27FC236}">
              <a16:creationId xmlns:a16="http://schemas.microsoft.com/office/drawing/2014/main" id="{0C9131A1-55EF-B946-B093-36DC9C90C0AF}"/>
            </a:ext>
          </a:extLst>
        </xdr:cNvPr>
        <xdr:cNvSpPr txBox="1">
          <a:spLocks noChangeArrowheads="1"/>
        </xdr:cNvSpPr>
      </xdr:nvSpPr>
      <xdr:spPr bwMode="auto">
        <a:xfrm>
          <a:off x="12407900" y="508000"/>
          <a:ext cx="45212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lforhc.org/s/29.pdf" TargetMode="External"/><Relationship Id="rId21" Type="http://schemas.openxmlformats.org/officeDocument/2006/relationships/hyperlink" Target="https://github.com/cambridgeltl/MTL-Bioinformatics-2016" TargetMode="External"/><Relationship Id="rId42" Type="http://schemas.openxmlformats.org/officeDocument/2006/relationships/hyperlink" Target="http://mucmd.org/CameraReadySubmissions/46%5CCameraReadySubmission%5Cmain.pdf" TargetMode="External"/><Relationship Id="rId47" Type="http://schemas.openxmlformats.org/officeDocument/2006/relationships/hyperlink" Target="http://mucmd.org/CameraReadySubmissions/54%5CCameraReadySubmission%5Cmucmd_edited.pdf" TargetMode="External"/><Relationship Id="rId63" Type="http://schemas.openxmlformats.org/officeDocument/2006/relationships/hyperlink" Target="https://arxiv.org/pdf/1808.02602.pdf" TargetMode="External"/><Relationship Id="rId68" Type="http://schemas.openxmlformats.org/officeDocument/2006/relationships/hyperlink" Target="https://arxiv.org/pdf/1807.01705.pdf" TargetMode="External"/><Relationship Id="rId84" Type="http://schemas.openxmlformats.org/officeDocument/2006/relationships/hyperlink" Target="https://arxiv.org/abs/1811.10799" TargetMode="External"/><Relationship Id="rId89" Type="http://schemas.openxmlformats.org/officeDocument/2006/relationships/hyperlink" Target="https://arxiv.org/abs/1811.11818" TargetMode="External"/><Relationship Id="rId112" Type="http://schemas.openxmlformats.org/officeDocument/2006/relationships/hyperlink" Target="https://arxiv.org/pdf/1711.06504.pdf" TargetMode="External"/><Relationship Id="rId16" Type="http://schemas.openxmlformats.org/officeDocument/2006/relationships/hyperlink" Target="https://www.mlforhc.org/s/18.pdf" TargetMode="External"/><Relationship Id="rId107" Type="http://schemas.openxmlformats.org/officeDocument/2006/relationships/hyperlink" Target="https://arxiv.org/abs/1812.00475" TargetMode="External"/><Relationship Id="rId11" Type="http://schemas.openxmlformats.org/officeDocument/2006/relationships/hyperlink" Target="https://github.com/stefanhgm/MLHC2018-reproducible-survival-seer" TargetMode="External"/><Relationship Id="rId32" Type="http://schemas.openxmlformats.org/officeDocument/2006/relationships/hyperlink" Target="http://mucmd.org/CameraReadySubmissions/13%5CCameraReadySubmission%5CSubmission%2013%20-%20Forte%20et%20al..pdf" TargetMode="External"/><Relationship Id="rId37" Type="http://schemas.openxmlformats.org/officeDocument/2006/relationships/hyperlink" Target="http://mucmd.org/CameraReadySubmissions/27%5CCameraReadySubmission%5CFiorini_etal_MLHC2017.pdf" TargetMode="External"/><Relationship Id="rId53" Type="http://schemas.openxmlformats.org/officeDocument/2006/relationships/hyperlink" Target="http://mucmd.org/CameraReadySubmissions/65%5CCameraReadySubmission%5Cclinical-intervention-prediction%20(4).pdf" TargetMode="External"/><Relationship Id="rId58" Type="http://schemas.openxmlformats.org/officeDocument/2006/relationships/hyperlink" Target="https://github.com/alistairewj/reproducibility-mimic" TargetMode="External"/><Relationship Id="rId74" Type="http://schemas.openxmlformats.org/officeDocument/2006/relationships/hyperlink" Target="https://arxiv.org/pdf/1806.11345.pdf" TargetMode="External"/><Relationship Id="rId79" Type="http://schemas.openxmlformats.org/officeDocument/2006/relationships/hyperlink" Target="https://arxiv.org/pdf/1807.08039.pdf" TargetMode="External"/><Relationship Id="rId102" Type="http://schemas.openxmlformats.org/officeDocument/2006/relationships/hyperlink" Target="https://arxiv.org/pdf/1812.06932.pdf" TargetMode="External"/><Relationship Id="rId5" Type="http://schemas.openxmlformats.org/officeDocument/2006/relationships/hyperlink" Target="https://www.mlforhc.org/s/3.pdf" TargetMode="External"/><Relationship Id="rId90" Type="http://schemas.openxmlformats.org/officeDocument/2006/relationships/hyperlink" Target="https://arxiv.org/pdf/1811.09956.pdf" TargetMode="External"/><Relationship Id="rId95" Type="http://schemas.openxmlformats.org/officeDocument/2006/relationships/hyperlink" Target="https://portal.gdc.cancer.gov/projects/TARGET-NBL" TargetMode="External"/><Relationship Id="rId22" Type="http://schemas.openxmlformats.org/officeDocument/2006/relationships/hyperlink" Target="https://www.mlforhc.org/s/25.pdf" TargetMode="External"/><Relationship Id="rId27" Type="http://schemas.openxmlformats.org/officeDocument/2006/relationships/hyperlink" Target="https://www.mlforhc.org/s/31.pdf" TargetMode="External"/><Relationship Id="rId43" Type="http://schemas.openxmlformats.org/officeDocument/2006/relationships/hyperlink" Target="http://mucmd.org/CameraReadySubmissions/51%5CCameraReadySubmission%5Cjahja_lizotte_tolerance.pdf" TargetMode="External"/><Relationship Id="rId48" Type="http://schemas.openxmlformats.org/officeDocument/2006/relationships/hyperlink" Target="http://mucmd.org/CameraReadySubmissions/60%5CCameraReadySubmission%5Ccamera-ready_DRL_concept-extract_v2.pdf" TargetMode="External"/><Relationship Id="rId64" Type="http://schemas.openxmlformats.org/officeDocument/2006/relationships/hyperlink" Target="https://arxiv.org/pdf/1806.09542.pdf" TargetMode="External"/><Relationship Id="rId69" Type="http://schemas.openxmlformats.org/officeDocument/2006/relationships/hyperlink" Target="http://arxiv.org/pdf/1807.03179.pdf" TargetMode="External"/><Relationship Id="rId80" Type="http://schemas.openxmlformats.org/officeDocument/2006/relationships/hyperlink" Target="https://arxiv.org/pdf/1808.04411.pdf" TargetMode="External"/><Relationship Id="rId85" Type="http://schemas.openxmlformats.org/officeDocument/2006/relationships/hyperlink" Target="https://arxiv.org/abs/1811.09417" TargetMode="External"/><Relationship Id="rId12" Type="http://schemas.openxmlformats.org/officeDocument/2006/relationships/hyperlink" Target="https://www.mlforhc.org/s/12.pdf" TargetMode="External"/><Relationship Id="rId17" Type="http://schemas.openxmlformats.org/officeDocument/2006/relationships/hyperlink" Target="https://www.mlforhc.org/s/19.pdf" TargetMode="External"/><Relationship Id="rId33" Type="http://schemas.openxmlformats.org/officeDocument/2006/relationships/hyperlink" Target="http://mucmd.org/CameraReadySubmissions/16_short_fuse_paper(1).pdf" TargetMode="External"/><Relationship Id="rId38" Type="http://schemas.openxmlformats.org/officeDocument/2006/relationships/hyperlink" Target="http://mucmd.org/CameraReadySubmissions/31%5CCameraReadySubmission%5Cclustering-patients-tensor-full.pdf" TargetMode="External"/><Relationship Id="rId59" Type="http://schemas.openxmlformats.org/officeDocument/2006/relationships/hyperlink" Target="https://arxiv.org/pdf/1807.02617.pdf" TargetMode="External"/><Relationship Id="rId103" Type="http://schemas.openxmlformats.org/officeDocument/2006/relationships/hyperlink" Target="http://voxelmorph.mit.edu/" TargetMode="External"/><Relationship Id="rId108" Type="http://schemas.openxmlformats.org/officeDocument/2006/relationships/hyperlink" Target="https://arxiv.org/abs/1812.00210" TargetMode="External"/><Relationship Id="rId54" Type="http://schemas.openxmlformats.org/officeDocument/2006/relationships/hyperlink" Target="http://mucmd.org/CameraReadySubmissions/67%5CCameraReadySubmission%5Cunderstanding-coagulopathy-multi%20(6).pdf" TargetMode="External"/><Relationship Id="rId70" Type="http://schemas.openxmlformats.org/officeDocument/2006/relationships/hyperlink" Target="https://arxiv.org/pdf/1807.04077.pdf" TargetMode="External"/><Relationship Id="rId75" Type="http://schemas.openxmlformats.org/officeDocument/2006/relationships/hyperlink" Target="https://github.com/jsyoon0823/SRA_TSTR" TargetMode="External"/><Relationship Id="rId91" Type="http://schemas.openxmlformats.org/officeDocument/2006/relationships/hyperlink" Target="https://arxiv.org/abs/1811.09602" TargetMode="External"/><Relationship Id="rId96" Type="http://schemas.openxmlformats.org/officeDocument/2006/relationships/hyperlink" Target="https://arxiv.org/abs/1811.10455" TargetMode="External"/><Relationship Id="rId1" Type="http://schemas.openxmlformats.org/officeDocument/2006/relationships/hyperlink" Target="https://www.mlforhc.org/s/Tonekaboni_S" TargetMode="External"/><Relationship Id="rId6" Type="http://schemas.openxmlformats.org/officeDocument/2006/relationships/hyperlink" Target="http://proceedings.mlr.press/v85/durand18a/durand18a.pdf" TargetMode="External"/><Relationship Id="rId15" Type="http://schemas.openxmlformats.org/officeDocument/2006/relationships/hyperlink" Target="https://arxiv.org/abs/1805.05008" TargetMode="External"/><Relationship Id="rId23" Type="http://schemas.openxmlformats.org/officeDocument/2006/relationships/hyperlink" Target="https://gitlab.eecs.umich.edu/mld3/brain_age_prediction" TargetMode="External"/><Relationship Id="rId28" Type="http://schemas.openxmlformats.org/officeDocument/2006/relationships/hyperlink" Target="https://github.com/NYUMedML/DeepEHR" TargetMode="External"/><Relationship Id="rId36" Type="http://schemas.openxmlformats.org/officeDocument/2006/relationships/hyperlink" Target="http://mucmd.org/CameraReadySubmissions/26%5CCameraReadySubmission%5Ccamera-ready-predicting(3).pdf" TargetMode="External"/><Relationship Id="rId49" Type="http://schemas.openxmlformats.org/officeDocument/2006/relationships/hyperlink" Target="http://mucmd.org/CameraReadySubmissions/62%5CCameraReadySubmission%5Cmedgan-mlhc-2017.pdf" TargetMode="External"/><Relationship Id="rId57" Type="http://schemas.openxmlformats.org/officeDocument/2006/relationships/hyperlink" Target="http://mucmd.org/CameraReadySubmissions/77_reproducibility-critical-care.pdf" TargetMode="External"/><Relationship Id="rId106" Type="http://schemas.openxmlformats.org/officeDocument/2006/relationships/hyperlink" Target="https://arxiv.org/abs/1812.01063" TargetMode="External"/><Relationship Id="rId10" Type="http://schemas.openxmlformats.org/officeDocument/2006/relationships/hyperlink" Target="https://www.mlforhc.org/s/11.pdf" TargetMode="External"/><Relationship Id="rId31" Type="http://schemas.openxmlformats.org/officeDocument/2006/relationships/hyperlink" Target="http://mucmd.org/CameraReadySubmissions/9%5CCameraReadySubmission%5CCLC_camera_ready.pdf" TargetMode="External"/><Relationship Id="rId44" Type="http://schemas.openxmlformats.org/officeDocument/2006/relationships/hyperlink" Target="http://mucmd.org/CameraReadySubmissions/52%5CCameraReadySubmission%5CMLHC_2017_FINAL_cameraready.pdf" TargetMode="External"/><Relationship Id="rId52" Type="http://schemas.openxmlformats.org/officeDocument/2006/relationships/hyperlink" Target="https://github.com/samiroid/usr2vec" TargetMode="External"/><Relationship Id="rId60" Type="http://schemas.openxmlformats.org/officeDocument/2006/relationships/hyperlink" Target="https://arxiv.org/pdf/1807.03633.pdf" TargetMode="External"/><Relationship Id="rId65" Type="http://schemas.openxmlformats.org/officeDocument/2006/relationships/hyperlink" Target="http://arxiv.org/pdf/1807.01619.pdf" TargetMode="External"/><Relationship Id="rId73" Type="http://schemas.openxmlformats.org/officeDocument/2006/relationships/hyperlink" Target="https://arxiv.org/pdf/1807.01000.pdf" TargetMode="External"/><Relationship Id="rId78" Type="http://schemas.openxmlformats.org/officeDocument/2006/relationships/hyperlink" Target="https://arxiv.org/pdf/1807.02608.pdf" TargetMode="External"/><Relationship Id="rId81" Type="http://schemas.openxmlformats.org/officeDocument/2006/relationships/hyperlink" Target="https://arxiv.org/pdf/1807.02599.pdf" TargetMode="External"/><Relationship Id="rId86" Type="http://schemas.openxmlformats.org/officeDocument/2006/relationships/hyperlink" Target="https://arxiv.org/abs/1810.10566" TargetMode="External"/><Relationship Id="rId94" Type="http://schemas.openxmlformats.org/officeDocument/2006/relationships/hyperlink" Target="https://arxiv.org/abs/1811.09673" TargetMode="External"/><Relationship Id="rId99" Type="http://schemas.openxmlformats.org/officeDocument/2006/relationships/hyperlink" Target="https://arxiv.org/abs/1812.00531" TargetMode="External"/><Relationship Id="rId101" Type="http://schemas.openxmlformats.org/officeDocument/2006/relationships/hyperlink" Target="https://arxiv.org/abs/1811.09950" TargetMode="External"/><Relationship Id="rId4" Type="http://schemas.openxmlformats.org/officeDocument/2006/relationships/hyperlink" Target="https://github.com/wboag/eol-mistrust" TargetMode="External"/><Relationship Id="rId9" Type="http://schemas.openxmlformats.org/officeDocument/2006/relationships/hyperlink" Target="https://github.com/Seb-Good/deepecg" TargetMode="External"/><Relationship Id="rId13" Type="http://schemas.openxmlformats.org/officeDocument/2006/relationships/hyperlink" Target="https://www.mlforhc.org/s/13.pdf" TargetMode="External"/><Relationship Id="rId18" Type="http://schemas.openxmlformats.org/officeDocument/2006/relationships/hyperlink" Target="https://arxiv.org/pdf/1712.08243.pdf" TargetMode="External"/><Relationship Id="rId39" Type="http://schemas.openxmlformats.org/officeDocument/2006/relationships/hyperlink" Target="http://mucmd.org/CameraReadySubmissions/34%5CCameraReadySubmission%5Ccontinuous-state-space%20_FINAL.pdf" TargetMode="External"/><Relationship Id="rId109" Type="http://schemas.openxmlformats.org/officeDocument/2006/relationships/hyperlink" Target="https://arxiv.org/abs/1811.11996" TargetMode="External"/><Relationship Id="rId34" Type="http://schemas.openxmlformats.org/officeDocument/2006/relationships/hyperlink" Target="http://mucmd.org/CameraReadySubmissions/23%5CCameraReadySubmission%5C0023.pdf" TargetMode="External"/><Relationship Id="rId50" Type="http://schemas.openxmlformats.org/officeDocument/2006/relationships/hyperlink" Target="https://github.com/mp2893/medgan" TargetMode="External"/><Relationship Id="rId55" Type="http://schemas.openxmlformats.org/officeDocument/2006/relationships/hyperlink" Target="http://mucmd.org/CameraReadySubmissions/76%5CCameraReadySubmission%5CMLHC.pdf" TargetMode="External"/><Relationship Id="rId76" Type="http://schemas.openxmlformats.org/officeDocument/2006/relationships/hyperlink" Target="https://arxiv.org/pdf/1807.01514.pdf" TargetMode="External"/><Relationship Id="rId97" Type="http://schemas.openxmlformats.org/officeDocument/2006/relationships/hyperlink" Target="http://ccg.ai/" TargetMode="External"/><Relationship Id="rId104" Type="http://schemas.openxmlformats.org/officeDocument/2006/relationships/hyperlink" Target="https://arxiv.org/abs/1812.00490" TargetMode="External"/><Relationship Id="rId7" Type="http://schemas.openxmlformats.org/officeDocument/2006/relationships/hyperlink" Target="https://www.mlforhc.org/s/8.pdf" TargetMode="External"/><Relationship Id="rId71" Type="http://schemas.openxmlformats.org/officeDocument/2006/relationships/hyperlink" Target="https://arxiv.org/pdf/1807.04667.pdf" TargetMode="External"/><Relationship Id="rId92" Type="http://schemas.openxmlformats.org/officeDocument/2006/relationships/hyperlink" Target="https://arxiv.org/abs/1705.08078" TargetMode="External"/><Relationship Id="rId2" Type="http://schemas.openxmlformats.org/officeDocument/2006/relationships/hyperlink" Target="https://www.mlforhc.org/s/1.pdf" TargetMode="External"/><Relationship Id="rId29" Type="http://schemas.openxmlformats.org/officeDocument/2006/relationships/hyperlink" Target="http://mucmd.org/CameraReadySubmissions/1%5CCameraReadySubmission%5Cpcpas.pdf" TargetMode="External"/><Relationship Id="rId24" Type="http://schemas.openxmlformats.org/officeDocument/2006/relationships/hyperlink" Target="https://static1.squarespace.com/static/59d5ac1780bd5ef9c396eda6/t/5b73739b40ec9a45a95436a1/1534292893333/27.pdf" TargetMode="External"/><Relationship Id="rId40" Type="http://schemas.openxmlformats.org/officeDocument/2006/relationships/hyperlink" Target="http://mucmd.org/CameraReadySubmissions/37%5CCameraReadySubmission%5CPFS_TTRNN_AFT_CameraReady.pdf" TargetMode="External"/><Relationship Id="rId45" Type="http://schemas.openxmlformats.org/officeDocument/2006/relationships/hyperlink" Target="http://mucmd.org/CameraReadySubmissions/53%5CCameraReadySubmission%5CCR.pdf" TargetMode="External"/><Relationship Id="rId66" Type="http://schemas.openxmlformats.org/officeDocument/2006/relationships/hyperlink" Target="https://arxiv.org/pdf/1807.02442.pdf" TargetMode="External"/><Relationship Id="rId87" Type="http://schemas.openxmlformats.org/officeDocument/2006/relationships/hyperlink" Target="https://github.com/noc-lab/clinical_concept_extraction" TargetMode="External"/><Relationship Id="rId110" Type="http://schemas.openxmlformats.org/officeDocument/2006/relationships/hyperlink" Target="https://arxiv.org/abs/1801.08640" TargetMode="External"/><Relationship Id="rId61" Type="http://schemas.openxmlformats.org/officeDocument/2006/relationships/hyperlink" Target="https://github.com/wangtongada/MARS/blob/master/MARS.py" TargetMode="External"/><Relationship Id="rId82" Type="http://schemas.openxmlformats.org/officeDocument/2006/relationships/hyperlink" Target="https://arxiv.org/abs/1811.08592" TargetMode="External"/><Relationship Id="rId19" Type="http://schemas.openxmlformats.org/officeDocument/2006/relationships/hyperlink" Target="https://www.mlforhc.org/s/22.pdf" TargetMode="External"/><Relationship Id="rId14" Type="http://schemas.openxmlformats.org/officeDocument/2006/relationships/hyperlink" Target="https://github.com/rafidrm/gancer" TargetMode="External"/><Relationship Id="rId30" Type="http://schemas.openxmlformats.org/officeDocument/2006/relationships/hyperlink" Target="http://mucmd.org/CameraReadySubmissions/4%5CCameraReadySubmission%5CP_Farnoosh_Sparse_MLHC_2017.pdf" TargetMode="External"/><Relationship Id="rId35" Type="http://schemas.openxmlformats.org/officeDocument/2006/relationships/hyperlink" Target="http://mucmd.org/CameraReadySubmissions/25%5CCameraReadySubmission%5Csample.pdf" TargetMode="External"/><Relationship Id="rId56" Type="http://schemas.openxmlformats.org/officeDocument/2006/relationships/hyperlink" Target="https://github.com/AvinWangZH/RareDiseaseExpertIdentification" TargetMode="External"/><Relationship Id="rId77" Type="http://schemas.openxmlformats.org/officeDocument/2006/relationships/hyperlink" Target="https://arxiv.org/pdf/1807.03095.pdf" TargetMode="External"/><Relationship Id="rId100" Type="http://schemas.openxmlformats.org/officeDocument/2006/relationships/hyperlink" Target="https://arxiv.org/abs/1812.00268" TargetMode="External"/><Relationship Id="rId105" Type="http://schemas.openxmlformats.org/officeDocument/2006/relationships/hyperlink" Target="https://arxiv.org/abs/1812.00415" TargetMode="External"/><Relationship Id="rId8" Type="http://schemas.openxmlformats.org/officeDocument/2006/relationships/hyperlink" Target="https://www.mlforhc.org/s/9.pdf" TargetMode="External"/><Relationship Id="rId51" Type="http://schemas.openxmlformats.org/officeDocument/2006/relationships/hyperlink" Target="http://mucmd.org/CameraReadySubmissions/63%5CCameraReadySubmission%5Cmlhc_2017.pdf" TargetMode="External"/><Relationship Id="rId72" Type="http://schemas.openxmlformats.org/officeDocument/2006/relationships/hyperlink" Target="https://arxiv.org/pdf/1806.11189.pdf" TargetMode="External"/><Relationship Id="rId93" Type="http://schemas.openxmlformats.org/officeDocument/2006/relationships/hyperlink" Target="https://arxiv.org/abs/1811.11958" TargetMode="External"/><Relationship Id="rId98" Type="http://schemas.openxmlformats.org/officeDocument/2006/relationships/hyperlink" Target="https://arxiv.org/pdf/1811.08579.pdf" TargetMode="External"/><Relationship Id="rId3" Type="http://schemas.openxmlformats.org/officeDocument/2006/relationships/hyperlink" Target="https://www.mlforhc.org/s/2.pdf" TargetMode="External"/><Relationship Id="rId25" Type="http://schemas.openxmlformats.org/officeDocument/2006/relationships/hyperlink" Target="https://www.mlforhc.org/s/28.pdf" TargetMode="External"/><Relationship Id="rId46" Type="http://schemas.openxmlformats.org/officeDocument/2006/relationships/hyperlink" Target="https://github.com/jfutoma/MGP-RNN" TargetMode="External"/><Relationship Id="rId67" Type="http://schemas.openxmlformats.org/officeDocument/2006/relationships/hyperlink" Target="https://arxiv.org/pdf/1807.00637.pdf" TargetMode="External"/><Relationship Id="rId20" Type="http://schemas.openxmlformats.org/officeDocument/2006/relationships/hyperlink" Target="https://www.mlforhc.org/s/23.pdf" TargetMode="External"/><Relationship Id="rId41" Type="http://schemas.openxmlformats.org/officeDocument/2006/relationships/hyperlink" Target="http://mucmd.org/CameraReadySubmissions/40%5CCameraReadySubmission%5Cpatient_similarity.pdf" TargetMode="External"/><Relationship Id="rId62" Type="http://schemas.openxmlformats.org/officeDocument/2006/relationships/hyperlink" Target="http://arxiv.org/pdf/1807.03159.pdf" TargetMode="External"/><Relationship Id="rId83" Type="http://schemas.openxmlformats.org/officeDocument/2006/relationships/hyperlink" Target="http://dcapswoz.ict.usc.edu/" TargetMode="External"/><Relationship Id="rId88" Type="http://schemas.openxmlformats.org/officeDocument/2006/relationships/hyperlink" Target="https://arxiv.org/abs/1811.10746" TargetMode="External"/><Relationship Id="rId111" Type="http://schemas.openxmlformats.org/officeDocument/2006/relationships/hyperlink" Target="https://arxiv.org/abs/1812.015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xiv.org/pdf/1808.04411.pdf" TargetMode="External"/><Relationship Id="rId21" Type="http://schemas.openxmlformats.org/officeDocument/2006/relationships/hyperlink" Target="https://www.kdd.org/kdd2018/accepted-papers/view/hetero-convlstm-a-deep-learning-approach-to-traffic-accident-prediction-on-" TargetMode="External"/><Relationship Id="rId324" Type="http://schemas.openxmlformats.org/officeDocument/2006/relationships/hyperlink" Target="https://arxiv.org/abs/1811.12194" TargetMode="External"/><Relationship Id="rId531" Type="http://schemas.openxmlformats.org/officeDocument/2006/relationships/hyperlink" Target="http://proceedings.mlr.press/v80/chen18h.html" TargetMode="External"/><Relationship Id="rId629" Type="http://schemas.openxmlformats.org/officeDocument/2006/relationships/hyperlink" Target="http://aclweb.org/anthology/D18-1141" TargetMode="External"/><Relationship Id="rId170" Type="http://schemas.openxmlformats.org/officeDocument/2006/relationships/hyperlink" Target="http://openaccess.thecvf.com/content_cvpr_2018/html/Kalayeh_Human_Semantic_Parsing_CVPR_2018_paper.html" TargetMode="External"/><Relationship Id="rId268" Type="http://schemas.openxmlformats.org/officeDocument/2006/relationships/hyperlink" Target="http://openaccess.thecvf.com/content_ECCV_2018/html/Pau_Rodriguez_Lopez_Attend_and_Rectify_ECCV_2018_paper.html" TargetMode="External"/><Relationship Id="rId475" Type="http://schemas.openxmlformats.org/officeDocument/2006/relationships/hyperlink" Target="https://www.kdd.org/kdd2018/accepted-papers/view/resolving-abstract-anaphora-in-conversational-assistants-using-a-hierarchic" TargetMode="External"/><Relationship Id="rId32" Type="http://schemas.openxmlformats.org/officeDocument/2006/relationships/hyperlink" Target="http://openaccess.thecvf.com/content_iccv_2017/html/Shen_Learning_Deep_Neural_ICCV_2017_paper.html" TargetMode="External"/><Relationship Id="rId128" Type="http://schemas.openxmlformats.org/officeDocument/2006/relationships/hyperlink" Target="https://arxiv.org/abs/1811.09602" TargetMode="External"/><Relationship Id="rId335" Type="http://schemas.openxmlformats.org/officeDocument/2006/relationships/hyperlink" Target="https://arxiv.org/abs/1811.12254" TargetMode="External"/><Relationship Id="rId542" Type="http://schemas.openxmlformats.org/officeDocument/2006/relationships/hyperlink" Target="https://aaai.org/ocs/index.php/AAAI/AAAI18/paper/view/16733/15675" TargetMode="External"/><Relationship Id="rId181" Type="http://schemas.openxmlformats.org/officeDocument/2006/relationships/hyperlink" Target="http://openaccess.thecvf.com/content_cvpr_2018/html/Kozerawski_CLEAR_Cumulative_LEARning_CVPR_2018_paper.html" TargetMode="External"/><Relationship Id="rId402" Type="http://schemas.openxmlformats.org/officeDocument/2006/relationships/hyperlink" Target="https://papers.nips.cc/paper/8201-using-large-ensembles-of-control-variates-for-variational-inference.pdf" TargetMode="External"/><Relationship Id="rId279" Type="http://schemas.openxmlformats.org/officeDocument/2006/relationships/hyperlink" Target="http://openaccess.thecvf.com/content_iccv_2017/html/Liu_Video_Frame_Synthesis_ICCV_2017_paper.html" TargetMode="External"/><Relationship Id="rId486" Type="http://schemas.openxmlformats.org/officeDocument/2006/relationships/hyperlink" Target="https://papers.nips.cc/paper/8227-learning-to-share-and-hide-intentions-using-information-regularization.pdf" TargetMode="External"/><Relationship Id="rId43" Type="http://schemas.openxmlformats.org/officeDocument/2006/relationships/hyperlink" Target="https://www.mlforhc.org/s/9.pdf" TargetMode="External"/><Relationship Id="rId139" Type="http://schemas.openxmlformats.org/officeDocument/2006/relationships/hyperlink" Target="https://arxiv.org/pdf/1811.08579.pdf" TargetMode="External"/><Relationship Id="rId346" Type="http://schemas.openxmlformats.org/officeDocument/2006/relationships/hyperlink" Target="https://arxiv.org/abs/1812.01716" TargetMode="External"/><Relationship Id="rId553" Type="http://schemas.openxmlformats.org/officeDocument/2006/relationships/hyperlink" Target="https://acl2018.org/paper/1501" TargetMode="External"/><Relationship Id="rId192" Type="http://schemas.openxmlformats.org/officeDocument/2006/relationships/hyperlink" Target="http://openaccess.thecvf.com/content_ECCV_2018/html/Zhipeng_Cai_Deterministic_Consensus_Maximization_ECCV_2018_paper.html" TargetMode="External"/><Relationship Id="rId206" Type="http://schemas.openxmlformats.org/officeDocument/2006/relationships/hyperlink" Target="http://openaccess.thecvf.com/content_ECCV_2018/html/Zheng_Dang_Eigendecomposition-free_Training_of_ECCV_2018_paper.html" TargetMode="External"/><Relationship Id="rId413" Type="http://schemas.openxmlformats.org/officeDocument/2006/relationships/hyperlink" Target="https://openreview.net/forum?id=B1l8BtlCb" TargetMode="External"/><Relationship Id="rId497" Type="http://schemas.openxmlformats.org/officeDocument/2006/relationships/hyperlink" Target="http://openaccess.thecvf.com/content_iccv_2017/html/Maksai_Non-Markovian_Globally_Consistent_ICCV_2017_paper.html" TargetMode="External"/><Relationship Id="rId620" Type="http://schemas.openxmlformats.org/officeDocument/2006/relationships/hyperlink" Target="https://aclanthology.info/papers/D18-1508/d18-1508" TargetMode="External"/><Relationship Id="rId357" Type="http://schemas.openxmlformats.org/officeDocument/2006/relationships/hyperlink" Target="http://aclweb.org/anthology/N18-1005" TargetMode="External"/><Relationship Id="rId54" Type="http://schemas.openxmlformats.org/officeDocument/2006/relationships/hyperlink" Target="https://www.mlforhc.org/s/22.pdf" TargetMode="External"/><Relationship Id="rId217" Type="http://schemas.openxmlformats.org/officeDocument/2006/relationships/hyperlink" Target="http://openaccess.thecvf.com/content_iccv_2017/html/Kafle_An_Analysis_of_ICCV_2017_paper.html" TargetMode="External"/><Relationship Id="rId564" Type="http://schemas.openxmlformats.org/officeDocument/2006/relationships/hyperlink" Target="https://aclanthology.info/papers/N18-1025/n18-1025" TargetMode="External"/><Relationship Id="rId424" Type="http://schemas.openxmlformats.org/officeDocument/2006/relationships/hyperlink" Target="https://www.kdd.org/kdd2018/accepted-papers/view/concepts-bridges-uncovering-conceptual-bridges-based-on-biomedical-concept-" TargetMode="External"/><Relationship Id="rId631" Type="http://schemas.openxmlformats.org/officeDocument/2006/relationships/hyperlink" Target="http://aclweb.org/anthology/D18-1141" TargetMode="External"/><Relationship Id="rId270" Type="http://schemas.openxmlformats.org/officeDocument/2006/relationships/hyperlink" Target="http://openaccess.thecvf.com/content_ECCV_2018/html/Pau_Rodriguez_Lopez_Attend_and_Rectify_ECCV_2018_paper.html" TargetMode="External"/><Relationship Id="rId65" Type="http://schemas.openxmlformats.org/officeDocument/2006/relationships/hyperlink" Target="http://mucmd.org/CameraReadySubmissions/13%5CCameraReadySubmission%5CSubmission%2013%20-%20Forte%20et%20al..pdf" TargetMode="External"/><Relationship Id="rId130" Type="http://schemas.openxmlformats.org/officeDocument/2006/relationships/hyperlink" Target="https://arxiv.org/abs/1811.11958" TargetMode="External"/><Relationship Id="rId368" Type="http://schemas.openxmlformats.org/officeDocument/2006/relationships/hyperlink" Target="http://aclweb.org/anthology/D18-1133" TargetMode="External"/><Relationship Id="rId575" Type="http://schemas.openxmlformats.org/officeDocument/2006/relationships/hyperlink" Target="https://www.kdd.org/kdd2018/accepted-papers/view/scalable-spectral-clustering-using-random-binning-features" TargetMode="External"/><Relationship Id="rId228" Type="http://schemas.openxmlformats.org/officeDocument/2006/relationships/hyperlink" Target="http://openaccess.thecvf.com/content_cvpr_2018/html/Li_Learning_Spatial-Temporal_Regularized_CVPR_2018_paper.html" TargetMode="External"/><Relationship Id="rId435" Type="http://schemas.openxmlformats.org/officeDocument/2006/relationships/hyperlink" Target="https://trec.nist.gov/data/microblog.html" TargetMode="External"/><Relationship Id="rId281" Type="http://schemas.openxmlformats.org/officeDocument/2006/relationships/hyperlink" Target="http://openaccess.thecvf.com/content_iccv_2017/html/Liu_Video_Frame_Synthesis_ICCV_2017_paper.html" TargetMode="External"/><Relationship Id="rId502" Type="http://schemas.openxmlformats.org/officeDocument/2006/relationships/hyperlink" Target="http://openaccess.thecvf.com/content_iccv_2017/html/Maksai_Non-Markovian_Globally_Consistent_ICCV_2017_paper.html" TargetMode="External"/><Relationship Id="rId76" Type="http://schemas.openxmlformats.org/officeDocument/2006/relationships/hyperlink" Target="http://mucmd.org/CameraReadySubmissions/51%5CCameraReadySubmission%5Cjahja_lizotte_tolerance.pdf" TargetMode="External"/><Relationship Id="rId141" Type="http://schemas.openxmlformats.org/officeDocument/2006/relationships/hyperlink" Target="https://arxiv.org/abs/1812.00268" TargetMode="External"/><Relationship Id="rId379" Type="http://schemas.openxmlformats.org/officeDocument/2006/relationships/hyperlink" Target="http://aclweb.org/anthology/D18-1090" TargetMode="External"/><Relationship Id="rId586" Type="http://schemas.openxmlformats.org/officeDocument/2006/relationships/hyperlink" Target="https://www.kdd.org/kdd2018/accepted-papers/view/scalable-active-learning-by-approximated-error-reduction" TargetMode="External"/><Relationship Id="rId7" Type="http://schemas.openxmlformats.org/officeDocument/2006/relationships/hyperlink" Target="http://openaccess.thecvf.com/content_cvpr_2018/html/Rupprecht_Guide_Me_Interacting_CVPR_2018_paper.html" TargetMode="External"/><Relationship Id="rId239" Type="http://schemas.openxmlformats.org/officeDocument/2006/relationships/hyperlink" Target="http://openaccess.thecvf.com/content_cvpr_2018/html/Dong_Style_Aggregated_Network_CVPR_2018_paper.html" TargetMode="External"/><Relationship Id="rId446" Type="http://schemas.openxmlformats.org/officeDocument/2006/relationships/hyperlink" Target="https://github.com/openai/robosumo" TargetMode="External"/><Relationship Id="rId292" Type="http://schemas.openxmlformats.org/officeDocument/2006/relationships/hyperlink" Target="http://openaccess.thecvf.com/content_iccv_2017/html/Zhu_Unpaired_Image-To-Image_Translation_ICCV_2017_paper.html" TargetMode="External"/><Relationship Id="rId306" Type="http://schemas.openxmlformats.org/officeDocument/2006/relationships/hyperlink" Target="https://arxiv.org/abs/1804.11046" TargetMode="External"/><Relationship Id="rId87" Type="http://schemas.openxmlformats.org/officeDocument/2006/relationships/hyperlink" Target="http://mucmd.org/CameraReadySubmissions/63%5CCameraReadySubmission%5Cmlhc_2017.pdf" TargetMode="External"/><Relationship Id="rId513" Type="http://schemas.openxmlformats.org/officeDocument/2006/relationships/hyperlink" Target="https://papers.nips.cc/paper/7739-densely-connected-attention-propagation-for-reading-comprehension.pdf" TargetMode="External"/><Relationship Id="rId597" Type="http://schemas.openxmlformats.org/officeDocument/2006/relationships/hyperlink" Target="http://proceedings.mlr.press/v80/lu18d.html" TargetMode="External"/><Relationship Id="rId152" Type="http://schemas.openxmlformats.org/officeDocument/2006/relationships/hyperlink" Target="https://arxiv.org/abs/1812.01063" TargetMode="External"/><Relationship Id="rId457" Type="http://schemas.openxmlformats.org/officeDocument/2006/relationships/hyperlink" Target="http://aclweb.org/anthology/N18-1020" TargetMode="External"/><Relationship Id="rId14" Type="http://schemas.openxmlformats.org/officeDocument/2006/relationships/hyperlink" Target="https://papers.nips.cc/paper/8010-beyond-log-concavity-provable-guarantees-for-sampling-multi-modal-distributions-using-simulated-tempering-langevin-monte-carlo.pdf" TargetMode="External"/><Relationship Id="rId317" Type="http://schemas.openxmlformats.org/officeDocument/2006/relationships/hyperlink" Target="https://arxiv.org/abs/1812.02222" TargetMode="External"/><Relationship Id="rId524" Type="http://schemas.openxmlformats.org/officeDocument/2006/relationships/hyperlink" Target="https://aclanthology.info/papers/N18-1023/n18-1023" TargetMode="External"/><Relationship Id="rId98" Type="http://schemas.openxmlformats.org/officeDocument/2006/relationships/hyperlink" Target="https://arxiv.org/pdf/1807.02442.pdf" TargetMode="External"/><Relationship Id="rId163" Type="http://schemas.openxmlformats.org/officeDocument/2006/relationships/hyperlink" Target="https://arxiv.org/abs/1801.08640" TargetMode="External"/><Relationship Id="rId370" Type="http://schemas.openxmlformats.org/officeDocument/2006/relationships/hyperlink" Target="http://aclweb.org/anthology/D18-1133" TargetMode="External"/><Relationship Id="rId230" Type="http://schemas.openxmlformats.org/officeDocument/2006/relationships/hyperlink" Target="http://openaccess.thecvf.com/content_cvpr_2018/html/Li_Learning_Spatial-Temporal_Regularized_CVPR_2018_paper.html" TargetMode="External"/><Relationship Id="rId468" Type="http://schemas.openxmlformats.org/officeDocument/2006/relationships/hyperlink" Target="https://aaai.org/ocs/index.php/AAAI/AAAI18/paper/view/17286" TargetMode="External"/><Relationship Id="rId25" Type="http://schemas.openxmlformats.org/officeDocument/2006/relationships/hyperlink" Target="http://openaccess.thecvf.com/content_ECCV_2018/html/Sheng_Guo_CurriculumNet_Learning_from_ECCV_2018_paper.html" TargetMode="External"/><Relationship Id="rId328" Type="http://schemas.openxmlformats.org/officeDocument/2006/relationships/hyperlink" Target="https://arxiv.org/abs/1807.06489" TargetMode="External"/><Relationship Id="rId535" Type="http://schemas.openxmlformats.org/officeDocument/2006/relationships/hyperlink" Target="http://proceedings.mlr.press/v80/oliva18a.html" TargetMode="External"/><Relationship Id="rId174" Type="http://schemas.openxmlformats.org/officeDocument/2006/relationships/hyperlink" Target="http://openaccess.thecvf.com/content_cvpr_2018/html/Noh_Improving_Occlusion_and_CVPR_2018_paper.html" TargetMode="External"/><Relationship Id="rId381" Type="http://schemas.openxmlformats.org/officeDocument/2006/relationships/hyperlink" Target="http://aclweb.org/anthology/P18-3018" TargetMode="External"/><Relationship Id="rId602" Type="http://schemas.openxmlformats.org/officeDocument/2006/relationships/hyperlink" Target="http://aclweb.org/anthology/N18-1029" TargetMode="External"/><Relationship Id="rId241" Type="http://schemas.openxmlformats.org/officeDocument/2006/relationships/hyperlink" Target="http://openaccess.thecvf.com/content_cvpr_2018/html/Mohapatra_Efficient_Optimization_for_CVPR_2018_paper.html" TargetMode="External"/><Relationship Id="rId479" Type="http://schemas.openxmlformats.org/officeDocument/2006/relationships/hyperlink" Target="https://www.kdd.org/kdd2018/accepted-papers/view/leveraging-meta-path-based-context-for-top-n-recommendation-with-co-attenti" TargetMode="External"/><Relationship Id="rId36" Type="http://schemas.openxmlformats.org/officeDocument/2006/relationships/hyperlink" Target="https://www.mlforhc.org/s/1.pdf" TargetMode="External"/><Relationship Id="rId339" Type="http://schemas.openxmlformats.org/officeDocument/2006/relationships/hyperlink" Target="https://arxiv.org/abs/1812.00058" TargetMode="External"/><Relationship Id="rId546" Type="http://schemas.openxmlformats.org/officeDocument/2006/relationships/hyperlink" Target="https://acl2018.org/paper/79" TargetMode="External"/><Relationship Id="rId101" Type="http://schemas.openxmlformats.org/officeDocument/2006/relationships/hyperlink" Target="https://arxiv.org/pdf/1807.00637.pdf" TargetMode="External"/><Relationship Id="rId185" Type="http://schemas.openxmlformats.org/officeDocument/2006/relationships/hyperlink" Target="http://openaccess.thecvf.com/content_cvpr_2018/html/Kozerawski_CLEAR_Cumulative_LEARning_CVPR_2018_paper.html" TargetMode="External"/><Relationship Id="rId406" Type="http://schemas.openxmlformats.org/officeDocument/2006/relationships/hyperlink" Target="https://papers.nips.cc/paper/7526-online-learning-with-an-unknown-fairness-metric.pdf" TargetMode="External"/><Relationship Id="rId392" Type="http://schemas.openxmlformats.org/officeDocument/2006/relationships/hyperlink" Target="http://aclweb.org/anthology/N18-1011" TargetMode="External"/><Relationship Id="rId613" Type="http://schemas.openxmlformats.org/officeDocument/2006/relationships/hyperlink" Target="http://aclweb.org/anthology/D18-1019" TargetMode="External"/><Relationship Id="rId252" Type="http://schemas.openxmlformats.org/officeDocument/2006/relationships/hyperlink" Target="http://openaccess.thecvf.com/content_ECCV_2018/html/Anil_Baslamisli_Joint_Learning_of_ECCV_2018_paper.html" TargetMode="External"/><Relationship Id="rId294" Type="http://schemas.openxmlformats.org/officeDocument/2006/relationships/hyperlink" Target="http://openaccess.thecvf.com/content_iccv_2017/html/Zhu_Unpaired_Image-To-Image_Translation_ICCV_2017_paper.html" TargetMode="External"/><Relationship Id="rId308" Type="http://schemas.openxmlformats.org/officeDocument/2006/relationships/hyperlink" Target="https://arxiv.org/abs/1811.03066" TargetMode="External"/><Relationship Id="rId515" Type="http://schemas.openxmlformats.org/officeDocument/2006/relationships/hyperlink" Target="https://papers.nips.cc/paper/7739-densely-connected-attention-propagation-for-reading-comprehension.pdf" TargetMode="External"/><Relationship Id="rId47" Type="http://schemas.openxmlformats.org/officeDocument/2006/relationships/hyperlink" Target="https://www.mlforhc.org/s/13.pdf" TargetMode="External"/><Relationship Id="rId89" Type="http://schemas.openxmlformats.org/officeDocument/2006/relationships/hyperlink" Target="http://mucmd.org/CameraReadySubmissions/67%5CCameraReadySubmission%5Cunderstanding-coagulopathy-multi%20(6).pdf" TargetMode="External"/><Relationship Id="rId112" Type="http://schemas.openxmlformats.org/officeDocument/2006/relationships/hyperlink" Target="https://arxiv.org/pdf/1807.02608.pdf" TargetMode="External"/><Relationship Id="rId154" Type="http://schemas.openxmlformats.org/officeDocument/2006/relationships/hyperlink" Target="https://arxiv.org/abs/1812.01063" TargetMode="External"/><Relationship Id="rId361" Type="http://schemas.openxmlformats.org/officeDocument/2006/relationships/hyperlink" Target="https://acl2018.org/paper/68-demo" TargetMode="External"/><Relationship Id="rId557" Type="http://schemas.openxmlformats.org/officeDocument/2006/relationships/hyperlink" Target="http://aclweb.org/anthology/N18-1024" TargetMode="External"/><Relationship Id="rId599" Type="http://schemas.openxmlformats.org/officeDocument/2006/relationships/hyperlink" Target="http://proceedings.mlr.press/v80/lu18d.html" TargetMode="External"/><Relationship Id="rId196" Type="http://schemas.openxmlformats.org/officeDocument/2006/relationships/hyperlink" Target="http://openaccess.thecvf.com/content_iccv_2017/html/Khan_Synergy_Between_Face_ICCV_2017_paper.html" TargetMode="External"/><Relationship Id="rId417" Type="http://schemas.openxmlformats.org/officeDocument/2006/relationships/hyperlink" Target="http://aclweb.org/anthology/D18-1334" TargetMode="External"/><Relationship Id="rId459" Type="http://schemas.openxmlformats.org/officeDocument/2006/relationships/hyperlink" Target="http://proceedings.mlr.press/v80/depeweg18a.html" TargetMode="External"/><Relationship Id="rId624" Type="http://schemas.openxmlformats.org/officeDocument/2006/relationships/hyperlink" Target="http://aclweb.org/anthology/D18-1302" TargetMode="External"/><Relationship Id="rId16" Type="http://schemas.openxmlformats.org/officeDocument/2006/relationships/hyperlink" Target="http://proceedings.mlr.press/v80/du18b.html" TargetMode="External"/><Relationship Id="rId221" Type="http://schemas.openxmlformats.org/officeDocument/2006/relationships/hyperlink" Target="http://openaccess.thecvf.com/content_iccv_2017/html/Hu_Attribute-Enhanced_Face_Recognition_ICCV_2017_paper.html" TargetMode="External"/><Relationship Id="rId263" Type="http://schemas.openxmlformats.org/officeDocument/2006/relationships/hyperlink" Target="http://openaccess.thecvf.com/content_ECCV_2018/html/Chunrui_Han_Face_Recognition_with_ECCV_2018_paper.html" TargetMode="External"/><Relationship Id="rId319" Type="http://schemas.openxmlformats.org/officeDocument/2006/relationships/hyperlink" Target="https://arxiv.org/abs/1811.08633" TargetMode="External"/><Relationship Id="rId470" Type="http://schemas.openxmlformats.org/officeDocument/2006/relationships/hyperlink" Target="http://openaccess.thecvf.com/content_cvpr_2018/html/Marcos_Learning_Deep_Structured_CVPR_2018_paper.html" TargetMode="External"/><Relationship Id="rId526" Type="http://schemas.openxmlformats.org/officeDocument/2006/relationships/hyperlink" Target="https://papers.nips.cc/paper/8007-neural-architecture-optimization.pdf" TargetMode="External"/><Relationship Id="rId58" Type="http://schemas.openxmlformats.org/officeDocument/2006/relationships/hyperlink" Target="https://static1.squarespace.com/static/59d5ac1780bd5ef9c396eda6/t/5b73739b40ec9a45a95436a1/1534292893333/27.pdf" TargetMode="External"/><Relationship Id="rId123" Type="http://schemas.openxmlformats.org/officeDocument/2006/relationships/hyperlink" Target="https://arxiv.org/abs/1811.09417" TargetMode="External"/><Relationship Id="rId330" Type="http://schemas.openxmlformats.org/officeDocument/2006/relationships/hyperlink" Target="https://www.framinghamheartstudy.org/fhs-for-researchers/research-application-overview/" TargetMode="External"/><Relationship Id="rId568" Type="http://schemas.openxmlformats.org/officeDocument/2006/relationships/hyperlink" Target="https://www.kdd.org/kdd2018/accepted-papers/view/algorithms-for-hiring-and-outsourcing-in-the-online-labor-market" TargetMode="External"/><Relationship Id="rId165" Type="http://schemas.openxmlformats.org/officeDocument/2006/relationships/hyperlink" Target="https://arxiv.org/abs/1812.01547" TargetMode="External"/><Relationship Id="rId372" Type="http://schemas.openxmlformats.org/officeDocument/2006/relationships/hyperlink" Target="http://aclweb.org/anthology/D18-1464" TargetMode="External"/><Relationship Id="rId428" Type="http://schemas.openxmlformats.org/officeDocument/2006/relationships/hyperlink" Target="https://www.kdd.org/kdd2018/accepted-papers/view/optimal-distributed-submodular-optimization-via-sketching" TargetMode="External"/><Relationship Id="rId635" Type="http://schemas.openxmlformats.org/officeDocument/2006/relationships/hyperlink" Target="http://aclweb.org/anthology/D18-1063" TargetMode="External"/><Relationship Id="rId232" Type="http://schemas.openxmlformats.org/officeDocument/2006/relationships/hyperlink" Target="http://openaccess.thecvf.com/content_cvpr_2018/html/Islam_Revisiting_Salient_Object_CVPR_2018_paper.html" TargetMode="External"/><Relationship Id="rId274" Type="http://schemas.openxmlformats.org/officeDocument/2006/relationships/hyperlink" Target="http://openaccess.thecvf.com/content_iccv_2017/html/Furukawa_Depth_Estimation_Using_ICCV_2017_paper.html" TargetMode="External"/><Relationship Id="rId481" Type="http://schemas.openxmlformats.org/officeDocument/2006/relationships/hyperlink" Target="http://proceedings.mlr.press/v80/ott18a.html" TargetMode="External"/><Relationship Id="rId27" Type="http://schemas.openxmlformats.org/officeDocument/2006/relationships/hyperlink" Target="http://openaccess.thecvf.com/content_ECCV_2018/html/Sheng_Guo_CurriculumNet_Learning_from_ECCV_2018_paper.html" TargetMode="External"/><Relationship Id="rId69" Type="http://schemas.openxmlformats.org/officeDocument/2006/relationships/hyperlink" Target="http://mucmd.org/CameraReadySubmissions/26%5CCameraReadySubmission%5Ccamera-ready-predicting(3).pdf" TargetMode="External"/><Relationship Id="rId134" Type="http://schemas.openxmlformats.org/officeDocument/2006/relationships/hyperlink" Target="https://arxiv.org/abs/1811.10455" TargetMode="External"/><Relationship Id="rId537" Type="http://schemas.openxmlformats.org/officeDocument/2006/relationships/hyperlink" Target="http://proceedings.mlr.press/v80/oliva18a.html" TargetMode="External"/><Relationship Id="rId579" Type="http://schemas.openxmlformats.org/officeDocument/2006/relationships/hyperlink" Target="https://www.kdd.org/kdd2018/accepted-papers/view/training-big-random-forests-with-little-resources" TargetMode="External"/><Relationship Id="rId80" Type="http://schemas.openxmlformats.org/officeDocument/2006/relationships/hyperlink" Target="http://mucmd.org/CameraReadySubmissions/53%5CCameraReadySubmission%5CCR.pdf" TargetMode="External"/><Relationship Id="rId176" Type="http://schemas.openxmlformats.org/officeDocument/2006/relationships/hyperlink" Target="http://openaccess.thecvf.com/content_cvpr_2018/html/Hong_pOSE_Pseudo_Object_CVPR_2018_paper.html" TargetMode="External"/><Relationship Id="rId341" Type="http://schemas.openxmlformats.org/officeDocument/2006/relationships/hyperlink" Target="https://arxiv.org/abs/1812.00172" TargetMode="External"/><Relationship Id="rId383" Type="http://schemas.openxmlformats.org/officeDocument/2006/relationships/hyperlink" Target="http://aclweb.org/anthology/P18-1229" TargetMode="External"/><Relationship Id="rId439" Type="http://schemas.openxmlformats.org/officeDocument/2006/relationships/hyperlink" Target="http://aclweb.org/anthology/N18-1017" TargetMode="External"/><Relationship Id="rId590" Type="http://schemas.openxmlformats.org/officeDocument/2006/relationships/hyperlink" Target="https://www.kdd.org/kdd2018/accepted-papers/view/scalable-active-learning-by-approximated-error-reduction" TargetMode="External"/><Relationship Id="rId604" Type="http://schemas.openxmlformats.org/officeDocument/2006/relationships/hyperlink" Target="http://aclweb.org/anthology/N18-1029" TargetMode="External"/><Relationship Id="rId201" Type="http://schemas.openxmlformats.org/officeDocument/2006/relationships/hyperlink" Target="http://openaccess.thecvf.com/content_ECCV_2018/html/Mingtao_Feng_3D_Face_Reconstruction_ECCV_2018_paper.html" TargetMode="External"/><Relationship Id="rId243" Type="http://schemas.openxmlformats.org/officeDocument/2006/relationships/hyperlink" Target="http://openaccess.thecvf.com/content_cvpr_2018/html/Wang_Two-Step_Quantization_for_CVPR_2018_paper.html" TargetMode="External"/><Relationship Id="rId285" Type="http://schemas.openxmlformats.org/officeDocument/2006/relationships/hyperlink" Target="http://openaccess.thecvf.com/content_ICCV_2017/papers/Cherian_Learning_Discriminative_ab-Divergences_ICCV_2017_paper.pdf" TargetMode="External"/><Relationship Id="rId450" Type="http://schemas.openxmlformats.org/officeDocument/2006/relationships/hyperlink" Target="https://aaai.org/ocs/index.php/AAAI/AAAI18/paper/view/16184" TargetMode="External"/><Relationship Id="rId506" Type="http://schemas.openxmlformats.org/officeDocument/2006/relationships/hyperlink" Target="https://openreview.net/forum?id=rkr1UDeC-" TargetMode="External"/><Relationship Id="rId38" Type="http://schemas.openxmlformats.org/officeDocument/2006/relationships/hyperlink" Target="https://www.mlforhc.org/s/1.pdf" TargetMode="External"/><Relationship Id="rId103" Type="http://schemas.openxmlformats.org/officeDocument/2006/relationships/hyperlink" Target="http://arxiv.org/pdf/1807.03179.pdf" TargetMode="External"/><Relationship Id="rId310" Type="http://schemas.openxmlformats.org/officeDocument/2006/relationships/hyperlink" Target="http://arxiv.org/abs/1812.01087" TargetMode="External"/><Relationship Id="rId492" Type="http://schemas.openxmlformats.org/officeDocument/2006/relationships/hyperlink" Target="http://aclweb.org/anthology/N18-1021" TargetMode="External"/><Relationship Id="rId548" Type="http://schemas.openxmlformats.org/officeDocument/2006/relationships/hyperlink" Target="https://acl2018.org/paper/880" TargetMode="External"/><Relationship Id="rId91" Type="http://schemas.openxmlformats.org/officeDocument/2006/relationships/hyperlink" Target="http://mucmd.org/CameraReadySubmissions/77_reproducibility-critical-care.pdf" TargetMode="External"/><Relationship Id="rId145" Type="http://schemas.openxmlformats.org/officeDocument/2006/relationships/hyperlink" Target="https://arxiv.org/abs/1812.00415" TargetMode="External"/><Relationship Id="rId187" Type="http://schemas.openxmlformats.org/officeDocument/2006/relationships/hyperlink" Target="http://openaccess.thecvf.com/content_cvpr_2018/html/Paschalidou_RayNet_Learning_Volumetric_CVPR_2018_paper.html" TargetMode="External"/><Relationship Id="rId352" Type="http://schemas.openxmlformats.org/officeDocument/2006/relationships/hyperlink" Target="https://aclanthology.info/papers/N18-1004/n18-1004" TargetMode="External"/><Relationship Id="rId394" Type="http://schemas.openxmlformats.org/officeDocument/2006/relationships/hyperlink" Target="http://aclweb.org/anthology/D18-1236" TargetMode="External"/><Relationship Id="rId408" Type="http://schemas.openxmlformats.org/officeDocument/2006/relationships/hyperlink" Target="https://openreview.net/forum?id=B1DmUzWAW" TargetMode="External"/><Relationship Id="rId615" Type="http://schemas.openxmlformats.org/officeDocument/2006/relationships/hyperlink" Target="http://aclweb.org/anthology/D18-1068" TargetMode="External"/><Relationship Id="rId212" Type="http://schemas.openxmlformats.org/officeDocument/2006/relationships/hyperlink" Target="http://openaccess.thecvf.com/content_ECCV_2018/html/Zerong_Zheng_HybridFusion_Real-Time_Performance_ECCV_2018_paper.html" TargetMode="External"/><Relationship Id="rId254" Type="http://schemas.openxmlformats.org/officeDocument/2006/relationships/hyperlink" Target="http://openaccess.thecvf.com/content_ECCV_2018/html/Yuxin_Wu_Group_Normalization_ECCV_2018_paper.html" TargetMode="External"/><Relationship Id="rId49" Type="http://schemas.openxmlformats.org/officeDocument/2006/relationships/hyperlink" Target="https://arxiv.org/abs/1805.05008" TargetMode="External"/><Relationship Id="rId114" Type="http://schemas.openxmlformats.org/officeDocument/2006/relationships/hyperlink" Target="https://www.hmpdacc.org/HMASM/" TargetMode="External"/><Relationship Id="rId296" Type="http://schemas.openxmlformats.org/officeDocument/2006/relationships/hyperlink" Target="http://openaccess.thecvf.com/content_iccv_2017/html/Zhu_Unpaired_Image-To-Image_Translation_ICCV_2017_paper.html" TargetMode="External"/><Relationship Id="rId461" Type="http://schemas.openxmlformats.org/officeDocument/2006/relationships/hyperlink" Target="http://proceedings.mlr.press/v80/john18a.html" TargetMode="External"/><Relationship Id="rId517" Type="http://schemas.openxmlformats.org/officeDocument/2006/relationships/hyperlink" Target="http://aclweb.org/anthology/N18-1022" TargetMode="External"/><Relationship Id="rId559" Type="http://schemas.openxmlformats.org/officeDocument/2006/relationships/hyperlink" Target="http://aclweb.org/anthology/N18-1024" TargetMode="External"/><Relationship Id="rId60" Type="http://schemas.openxmlformats.org/officeDocument/2006/relationships/hyperlink" Target="https://www.mlforhc.org/s/29.pdf" TargetMode="External"/><Relationship Id="rId156" Type="http://schemas.openxmlformats.org/officeDocument/2006/relationships/hyperlink" Target="https://arxiv.org/abs/1812.01063" TargetMode="External"/><Relationship Id="rId198" Type="http://schemas.openxmlformats.org/officeDocument/2006/relationships/hyperlink" Target="http://openaccess.thecvf.com/content_iccv_2017/html/Busta_Deep_TextSpotter_An_ICCV_2017_paper.html" TargetMode="External"/><Relationship Id="rId321" Type="http://schemas.openxmlformats.org/officeDocument/2006/relationships/hyperlink" Target="https://arxiv.org/abs/1811.08633" TargetMode="External"/><Relationship Id="rId363" Type="http://schemas.openxmlformats.org/officeDocument/2006/relationships/hyperlink" Target="https://aclanthology.info/papers/D18-1185/d18-1185" TargetMode="External"/><Relationship Id="rId419" Type="http://schemas.openxmlformats.org/officeDocument/2006/relationships/hyperlink" Target="http://aclweb.org/anthology/D18-1008" TargetMode="External"/><Relationship Id="rId570" Type="http://schemas.openxmlformats.org/officeDocument/2006/relationships/hyperlink" Target="https://www.kdd.org/kdd2018/accepted-papers/view/algorithms-for-hiring-and-outsourcing-in-the-online-labor-market" TargetMode="External"/><Relationship Id="rId626" Type="http://schemas.openxmlformats.org/officeDocument/2006/relationships/hyperlink" Target="https://aclanthology.info/papers/D18-1501/d18-1501" TargetMode="External"/><Relationship Id="rId223" Type="http://schemas.openxmlformats.org/officeDocument/2006/relationships/hyperlink" Target="http://openaccess.thecvf.com/content_cvpr_2018/html/Li_Low-Latency_Video_Semantic_CVPR_2018_paper.html" TargetMode="External"/><Relationship Id="rId430" Type="http://schemas.openxmlformats.org/officeDocument/2006/relationships/hyperlink" Target="https://www.kdd.org/kdd2018/accepted-papers/view/optimal-distributed-submodular-optimization-via-sketching" TargetMode="External"/><Relationship Id="rId18" Type="http://schemas.openxmlformats.org/officeDocument/2006/relationships/hyperlink" Target="https://www.kdd.org/kdd2018/accepted-papers/view/hetero-convlstm-a-deep-learning-approach-to-traffic-accident-prediction-on-" TargetMode="External"/><Relationship Id="rId265" Type="http://schemas.openxmlformats.org/officeDocument/2006/relationships/hyperlink" Target="http://openaccess.thecvf.com/content_ECCV_2018/html/Pradeep_Kumar_Jayaraman_Quadtree_Convolutional_Neural_ECCV_2018_paper.html" TargetMode="External"/><Relationship Id="rId472" Type="http://schemas.openxmlformats.org/officeDocument/2006/relationships/hyperlink" Target="http://openaccess.thecvf.com/content_cvpr_2018/html/Marcos_Learning_Deep_Structured_CVPR_2018_paper.html" TargetMode="External"/><Relationship Id="rId528" Type="http://schemas.openxmlformats.org/officeDocument/2006/relationships/hyperlink" Target="https://papers.nips.cc/paper/8007-neural-architecture-optimization.pdf" TargetMode="External"/><Relationship Id="rId125" Type="http://schemas.openxmlformats.org/officeDocument/2006/relationships/hyperlink" Target="https://arxiv.org/abs/1811.10746" TargetMode="External"/><Relationship Id="rId167" Type="http://schemas.openxmlformats.org/officeDocument/2006/relationships/hyperlink" Target="http://openaccess.thecvf.com/content_cvpr_2018/html/Madsen_Probabilistic_Joint_Face-Skull_CVPR_2018_paper.html" TargetMode="External"/><Relationship Id="rId332" Type="http://schemas.openxmlformats.org/officeDocument/2006/relationships/hyperlink" Target="https://arxiv.org/abs/1811.12589" TargetMode="External"/><Relationship Id="rId374" Type="http://schemas.openxmlformats.org/officeDocument/2006/relationships/hyperlink" Target="http://aclweb.org/anthology/D18-1464" TargetMode="External"/><Relationship Id="rId581" Type="http://schemas.openxmlformats.org/officeDocument/2006/relationships/hyperlink" Target="https://www.kdd.org/kdd2018/accepted-papers/view/training-big-random-forests-with-little-resources" TargetMode="External"/><Relationship Id="rId71" Type="http://schemas.openxmlformats.org/officeDocument/2006/relationships/hyperlink" Target="http://mucmd.org/CameraReadySubmissions/31%5CCameraReadySubmission%5Cclustering-patients-tensor-full.pdf" TargetMode="External"/><Relationship Id="rId234" Type="http://schemas.openxmlformats.org/officeDocument/2006/relationships/hyperlink" Target="http://openaccess.thecvf.com/content_cvpr_2018/html/Liu_Learning_Deep_Models_CVPR_2018_paper.html" TargetMode="External"/><Relationship Id="rId637" Type="http://schemas.openxmlformats.org/officeDocument/2006/relationships/vmlDrawing" Target="../drawings/vmlDrawing2.vml"/><Relationship Id="rId2" Type="http://schemas.openxmlformats.org/officeDocument/2006/relationships/hyperlink" Target="http://openaccess.thecvf.com/content_cvpr_2018/html/Agudo_Image_Collection_Pop-Up_CVPR_2018_paper.html" TargetMode="External"/><Relationship Id="rId29" Type="http://schemas.openxmlformats.org/officeDocument/2006/relationships/hyperlink" Target="http://openaccess.thecvf.com/content_ECCV_2018/html/Chi_Li_A_Unified_Framework_ECCV_2018_paper.html" TargetMode="External"/><Relationship Id="rId276" Type="http://schemas.openxmlformats.org/officeDocument/2006/relationships/hyperlink" Target="http://openaccess.thecvf.com/content_iccv_2017/html/Luc_Predicting_Deeper_Into_ICCV_2017_paper.html" TargetMode="External"/><Relationship Id="rId441" Type="http://schemas.openxmlformats.org/officeDocument/2006/relationships/hyperlink" Target="http://aclweb.org/anthology/D18-1349" TargetMode="External"/><Relationship Id="rId483" Type="http://schemas.openxmlformats.org/officeDocument/2006/relationships/hyperlink" Target="http://proceedings.mlr.press/v80/ott18a.html" TargetMode="External"/><Relationship Id="rId539" Type="http://schemas.openxmlformats.org/officeDocument/2006/relationships/hyperlink" Target="http://proceedings.mlr.press/v80/ghosh18a.html" TargetMode="External"/><Relationship Id="rId40" Type="http://schemas.openxmlformats.org/officeDocument/2006/relationships/hyperlink" Target="https://www.mlforhc.org/s/3.pdf" TargetMode="External"/><Relationship Id="rId136" Type="http://schemas.openxmlformats.org/officeDocument/2006/relationships/hyperlink" Target="https://arxiv.org/pdf/1811.08579.pdf" TargetMode="External"/><Relationship Id="rId178" Type="http://schemas.openxmlformats.org/officeDocument/2006/relationships/hyperlink" Target="http://openaccess.thecvf.com/content_cvpr_2018/html/Liu_SSNet_Scale_Selection_CVPR_2018_paper.html" TargetMode="External"/><Relationship Id="rId301" Type="http://schemas.openxmlformats.org/officeDocument/2006/relationships/hyperlink" Target="http://openaccess.thecvf.com/content_iccv_2017/html/Wan_Benchmarking_Single-Image_Reflection_ICCV_2017_paper.html" TargetMode="External"/><Relationship Id="rId343" Type="http://schemas.openxmlformats.org/officeDocument/2006/relationships/hyperlink" Target="https://arxiv.org/abs/1811.11920" TargetMode="External"/><Relationship Id="rId550" Type="http://schemas.openxmlformats.org/officeDocument/2006/relationships/hyperlink" Target="http://aclweb.org/anthology/P18-1097" TargetMode="External"/><Relationship Id="rId82" Type="http://schemas.openxmlformats.org/officeDocument/2006/relationships/hyperlink" Target="http://mucmd.org/CameraReadySubmissions/54%5CCameraReadySubmission%5Cmucmd_edited.pdf" TargetMode="External"/><Relationship Id="rId203" Type="http://schemas.openxmlformats.org/officeDocument/2006/relationships/hyperlink" Target="http://openaccess.thecvf.com/content_ECCV_2018/html/Yaojie_Liu_Face_De-spoofing_ECCV_2018_paper.html" TargetMode="External"/><Relationship Id="rId385" Type="http://schemas.openxmlformats.org/officeDocument/2006/relationships/hyperlink" Target="http://aclweb.org/anthology/D18-1103" TargetMode="External"/><Relationship Id="rId592" Type="http://schemas.openxmlformats.org/officeDocument/2006/relationships/hyperlink" Target="https://www.kdd.org/kdd2018/accepted-papers/view/easing-embedding-learning-by-comprehensive-transcription-of-heterogeneous-i" TargetMode="External"/><Relationship Id="rId606" Type="http://schemas.openxmlformats.org/officeDocument/2006/relationships/hyperlink" Target="http://aclweb.org/anthology/N18-1030" TargetMode="External"/><Relationship Id="rId245" Type="http://schemas.openxmlformats.org/officeDocument/2006/relationships/hyperlink" Target="http://openaccess.thecvf.com/content_cvpr_2018/html/Chen_Deep_Hashing_via_CVPR_2018_paper.html" TargetMode="External"/><Relationship Id="rId287" Type="http://schemas.openxmlformats.org/officeDocument/2006/relationships/hyperlink" Target="http://openaccess.thecvf.com/content_ICCV_2017/papers/Cherian_Learning_Discriminative_ab-Divergences_ICCV_2017_paper.pdf" TargetMode="External"/><Relationship Id="rId410" Type="http://schemas.openxmlformats.org/officeDocument/2006/relationships/hyperlink" Target="https://openreview.net/forum?id=B1DmUzWAW" TargetMode="External"/><Relationship Id="rId452" Type="http://schemas.openxmlformats.org/officeDocument/2006/relationships/hyperlink" Target="http://aclweb.org/anthology/P18-2066" TargetMode="External"/><Relationship Id="rId494" Type="http://schemas.openxmlformats.org/officeDocument/2006/relationships/hyperlink" Target="https://acl2018.org/paper/757" TargetMode="External"/><Relationship Id="rId508" Type="http://schemas.openxmlformats.org/officeDocument/2006/relationships/hyperlink" Target="https://openreview.net/forum?id=HyyP33gAZ" TargetMode="External"/><Relationship Id="rId105" Type="http://schemas.openxmlformats.org/officeDocument/2006/relationships/hyperlink" Target="https://arxiv.org/pdf/1807.04667.pdf" TargetMode="External"/><Relationship Id="rId147" Type="http://schemas.openxmlformats.org/officeDocument/2006/relationships/hyperlink" Target="https://arxiv.org/abs/1812.00415" TargetMode="External"/><Relationship Id="rId312" Type="http://schemas.openxmlformats.org/officeDocument/2006/relationships/hyperlink" Target="https://arxiv.org/abs/1812.00884" TargetMode="External"/><Relationship Id="rId354" Type="http://schemas.openxmlformats.org/officeDocument/2006/relationships/hyperlink" Target="https://aclanthology.info/papers/N18-1003/n18-1003" TargetMode="External"/><Relationship Id="rId51" Type="http://schemas.openxmlformats.org/officeDocument/2006/relationships/hyperlink" Target="https://www.mlforhc.org/s/19.pdf" TargetMode="External"/><Relationship Id="rId93" Type="http://schemas.openxmlformats.org/officeDocument/2006/relationships/hyperlink" Target="https://arxiv.org/pdf/1807.03633.pdf" TargetMode="External"/><Relationship Id="rId189" Type="http://schemas.openxmlformats.org/officeDocument/2006/relationships/hyperlink" Target="http://openaccess.thecvf.com/content_cvpr_2018/html/Xie_Environment_Upgrade_Reinforcement_CVPR_2018_paper.html" TargetMode="External"/><Relationship Id="rId396" Type="http://schemas.openxmlformats.org/officeDocument/2006/relationships/hyperlink" Target="http://aclweb.org/anthology/P18-4001" TargetMode="External"/><Relationship Id="rId561" Type="http://schemas.openxmlformats.org/officeDocument/2006/relationships/hyperlink" Target="https://aclanthology.info/papers/N18-1026/n18-1026" TargetMode="External"/><Relationship Id="rId617" Type="http://schemas.openxmlformats.org/officeDocument/2006/relationships/hyperlink" Target="http://aclweb.org/anthology/D18-1384" TargetMode="External"/><Relationship Id="rId214" Type="http://schemas.openxmlformats.org/officeDocument/2006/relationships/hyperlink" Target="http://openaccess.thecvf.com/content_iccv_2017/html/Park_Joint_Estimation_of_ICCV_2017_paper.html" TargetMode="External"/><Relationship Id="rId256" Type="http://schemas.openxmlformats.org/officeDocument/2006/relationships/hyperlink" Target="http://openaccess.thecvf.com/content_ECCV_2018/html/Yuxin_Wu_Group_Normalization_ECCV_2018_paper.html" TargetMode="External"/><Relationship Id="rId298" Type="http://schemas.openxmlformats.org/officeDocument/2006/relationships/hyperlink" Target="http://openaccess.thecvf.com/content_iccv_2017/html/Noroozi_Representation_Learning_by_ICCV_2017_paper.html" TargetMode="External"/><Relationship Id="rId421" Type="http://schemas.openxmlformats.org/officeDocument/2006/relationships/hyperlink" Target="http://aclweb.org/anthology/P18-1175" TargetMode="External"/><Relationship Id="rId463" Type="http://schemas.openxmlformats.org/officeDocument/2006/relationships/hyperlink" Target="http://proceedings.mlr.press/v80/brukhim18a.html" TargetMode="External"/><Relationship Id="rId519" Type="http://schemas.openxmlformats.org/officeDocument/2006/relationships/hyperlink" Target="https://papers.nips.cc/paper/7607-hybrid-mst-a-hybrid-active-sampling-strategy-for-pairwise-preference-aggregation.pdf" TargetMode="External"/><Relationship Id="rId116" Type="http://schemas.openxmlformats.org/officeDocument/2006/relationships/hyperlink" Target="https://arxiv.org/pdf/1808.04411.pdf" TargetMode="External"/><Relationship Id="rId158" Type="http://schemas.openxmlformats.org/officeDocument/2006/relationships/hyperlink" Target="https://arxiv.org/abs/1812.00210" TargetMode="External"/><Relationship Id="rId323" Type="http://schemas.openxmlformats.org/officeDocument/2006/relationships/hyperlink" Target="https://arxiv.org/abs/1811.12793" TargetMode="External"/><Relationship Id="rId530" Type="http://schemas.openxmlformats.org/officeDocument/2006/relationships/hyperlink" Target="http://proceedings.mlr.press/v80/chen18h.html" TargetMode="External"/><Relationship Id="rId20" Type="http://schemas.openxmlformats.org/officeDocument/2006/relationships/hyperlink" Target="https://www.kdd.org/kdd2018/accepted-papers/view/hetero-convlstm-a-deep-learning-approach-to-traffic-accident-prediction-on-" TargetMode="External"/><Relationship Id="rId62" Type="http://schemas.openxmlformats.org/officeDocument/2006/relationships/hyperlink" Target="http://mucmd.org/CameraReadySubmissions/1%5CCameraReadySubmission%5Cpcpas.pdf" TargetMode="External"/><Relationship Id="rId365" Type="http://schemas.openxmlformats.org/officeDocument/2006/relationships/hyperlink" Target="http://aclweb.org/anthology/D18-1185" TargetMode="External"/><Relationship Id="rId572" Type="http://schemas.openxmlformats.org/officeDocument/2006/relationships/hyperlink" Target="https://www.kdd.org/kdd2018/accepted-papers/view/scalable-spectral-clustering-using-random-binning-features" TargetMode="External"/><Relationship Id="rId628" Type="http://schemas.openxmlformats.org/officeDocument/2006/relationships/hyperlink" Target="http://aclweb.org/anthology/D18-1501" TargetMode="External"/><Relationship Id="rId225" Type="http://schemas.openxmlformats.org/officeDocument/2006/relationships/hyperlink" Target="http://openaccess.thecvf.com/content_cvpr_2018/html/Yu_An_Efficient_and_CVPR_2018_paper.html" TargetMode="External"/><Relationship Id="rId267" Type="http://schemas.openxmlformats.org/officeDocument/2006/relationships/hyperlink" Target="http://openaccess.thecvf.com/content_ECCV_2018/html/Pradeep_Kumar_Jayaraman_Quadtree_Convolutional_Neural_ECCV_2018_paper.html" TargetMode="External"/><Relationship Id="rId432" Type="http://schemas.openxmlformats.org/officeDocument/2006/relationships/hyperlink" Target="https://www.kdd.org/kdd2018/accepted-papers/view/optimal-distributed-submodular-optimization-via-sketching" TargetMode="External"/><Relationship Id="rId474" Type="http://schemas.openxmlformats.org/officeDocument/2006/relationships/hyperlink" Target="https://aaai.org/ocs/index.php/AAAI/AAAI18/paper/view/16470" TargetMode="External"/><Relationship Id="rId127" Type="http://schemas.openxmlformats.org/officeDocument/2006/relationships/hyperlink" Target="https://arxiv.org/pdf/1811.09956.pdf" TargetMode="External"/><Relationship Id="rId31" Type="http://schemas.openxmlformats.org/officeDocument/2006/relationships/hyperlink" Target="http://openaccess.thecvf.com/content_ECCV_2018/html/Chi_Li_A_Unified_Framework_ECCV_2018_paper.html" TargetMode="External"/><Relationship Id="rId73" Type="http://schemas.openxmlformats.org/officeDocument/2006/relationships/hyperlink" Target="http://mucmd.org/CameraReadySubmissions/37%5CCameraReadySubmission%5CPFS_TTRNN_AFT_CameraReady.pdf" TargetMode="External"/><Relationship Id="rId169" Type="http://schemas.openxmlformats.org/officeDocument/2006/relationships/hyperlink" Target="http://openaccess.thecvf.com/content_cvpr_2018/html/Madsen_Probabilistic_Joint_Face-Skull_CVPR_2018_paper.html" TargetMode="External"/><Relationship Id="rId334" Type="http://schemas.openxmlformats.org/officeDocument/2006/relationships/hyperlink" Target="https://www.ucl.ac.uk/ploras/" TargetMode="External"/><Relationship Id="rId376" Type="http://schemas.openxmlformats.org/officeDocument/2006/relationships/hyperlink" Target="http://aclweb.org/anthology/N18-1007" TargetMode="External"/><Relationship Id="rId541" Type="http://schemas.openxmlformats.org/officeDocument/2006/relationships/hyperlink" Target="https://aaai.org/ocs/index.php/AAAI/AAAI18/paper/view/16488" TargetMode="External"/><Relationship Id="rId583" Type="http://schemas.openxmlformats.org/officeDocument/2006/relationships/hyperlink" Target="https://www.kdd.org/kdd2018/accepted-papers/view/scalable-active-learning-by-approximated-error-reduction" TargetMode="External"/><Relationship Id="rId4" Type="http://schemas.openxmlformats.org/officeDocument/2006/relationships/hyperlink" Target="http://openaccess.thecvf.com/content_cvpr_2018/html/Agudo_Image_Collection_Pop-Up_CVPR_2018_paper.html" TargetMode="External"/><Relationship Id="rId180" Type="http://schemas.openxmlformats.org/officeDocument/2006/relationships/hyperlink" Target="http://openaccess.thecvf.com/content_cvpr_2018/html/Kozerawski_CLEAR_Cumulative_LEARning_CVPR_2018_paper.html" TargetMode="External"/><Relationship Id="rId236" Type="http://schemas.openxmlformats.org/officeDocument/2006/relationships/hyperlink" Target="http://openaccess.thecvf.com/content_cvpr_2018/html/Liu_Learning_Deep_Models_CVPR_2018_paper.html" TargetMode="External"/><Relationship Id="rId278" Type="http://schemas.openxmlformats.org/officeDocument/2006/relationships/hyperlink" Target="http://openaccess.thecvf.com/content_iccv_2017/html/Behl_Bounding_Boxes_Segmentations_ICCV_2017_paper.html" TargetMode="External"/><Relationship Id="rId401" Type="http://schemas.openxmlformats.org/officeDocument/2006/relationships/hyperlink" Target="https://papers.nips.cc/paper/8201-using-large-ensembles-of-control-variates-for-variational-inference.pdf" TargetMode="External"/><Relationship Id="rId443" Type="http://schemas.openxmlformats.org/officeDocument/2006/relationships/hyperlink" Target="https://openreview.net/forum?id=Sk9yuql0Z" TargetMode="External"/><Relationship Id="rId303" Type="http://schemas.openxmlformats.org/officeDocument/2006/relationships/hyperlink" Target="http://openaccess.thecvf.com/content_iccv_2017/html/Gallardo_Dense_Non-Rigid_Structure-From-Motion_ICCV_2017_paper.html" TargetMode="External"/><Relationship Id="rId485" Type="http://schemas.openxmlformats.org/officeDocument/2006/relationships/hyperlink" Target="https://papers.nips.cc/paper/8227-learning-to-share-and-hide-intentions-using-information-regularization.pdf" TargetMode="External"/><Relationship Id="rId42" Type="http://schemas.openxmlformats.org/officeDocument/2006/relationships/hyperlink" Target="https://www.mlforhc.org/s/8.pdf" TargetMode="External"/><Relationship Id="rId84" Type="http://schemas.openxmlformats.org/officeDocument/2006/relationships/hyperlink" Target="http://mucmd.org/CameraReadySubmissions/62%5CCameraReadySubmission%5Cmedgan-mlhc-2017.pdf" TargetMode="External"/><Relationship Id="rId138" Type="http://schemas.openxmlformats.org/officeDocument/2006/relationships/hyperlink" Target="https://arxiv.org/pdf/1811.08579.pdf" TargetMode="External"/><Relationship Id="rId345" Type="http://schemas.openxmlformats.org/officeDocument/2006/relationships/hyperlink" Target="https://arxiv.org/abs/1812.01716" TargetMode="External"/><Relationship Id="rId387" Type="http://schemas.openxmlformats.org/officeDocument/2006/relationships/hyperlink" Target="http://aclweb.org/anthology/P18-1157" TargetMode="External"/><Relationship Id="rId510" Type="http://schemas.openxmlformats.org/officeDocument/2006/relationships/hyperlink" Target="https://openreview.net/forum?id=SJiHXGWAZ" TargetMode="External"/><Relationship Id="rId552" Type="http://schemas.openxmlformats.org/officeDocument/2006/relationships/hyperlink" Target="http://xinyuhua.github.io/Resources/" TargetMode="External"/><Relationship Id="rId594" Type="http://schemas.openxmlformats.org/officeDocument/2006/relationships/hyperlink" Target="https://openreview.net/forum?id=BJuWrGW0Z" TargetMode="External"/><Relationship Id="rId608" Type="http://schemas.openxmlformats.org/officeDocument/2006/relationships/hyperlink" Target="http://aclweb.org/anthology/N18-1030" TargetMode="External"/><Relationship Id="rId191" Type="http://schemas.openxmlformats.org/officeDocument/2006/relationships/hyperlink" Target="http://openaccess.thecvf.com/content_ECCV_2018/html/Zhipeng_Cai_Deterministic_Consensus_Maximization_ECCV_2018_paper.html" TargetMode="External"/><Relationship Id="rId205" Type="http://schemas.openxmlformats.org/officeDocument/2006/relationships/hyperlink" Target="http://openaccess.thecvf.com/content_ECCV_2018/html/Yaojie_Liu_Face_De-spoofing_ECCV_2018_paper.html" TargetMode="External"/><Relationship Id="rId247" Type="http://schemas.openxmlformats.org/officeDocument/2006/relationships/hyperlink" Target="http://openaccess.thecvf.com/content_cvpr_2018/html/Chen_Deep_Hashing_via_CVPR_2018_paper.html" TargetMode="External"/><Relationship Id="rId412" Type="http://schemas.openxmlformats.org/officeDocument/2006/relationships/hyperlink" Target="https://openreview.net/forum?id=B1l8BtlCb" TargetMode="External"/><Relationship Id="rId107" Type="http://schemas.openxmlformats.org/officeDocument/2006/relationships/hyperlink" Target="https://arxiv.org/pdf/1807.01000.pdf" TargetMode="External"/><Relationship Id="rId289" Type="http://schemas.openxmlformats.org/officeDocument/2006/relationships/hyperlink" Target="http://openaccess.thecvf.com/content_iccv_2017/html/Tatarchenko_Octree_Generating_Networks_ICCV_2017_paper.html" TargetMode="External"/><Relationship Id="rId454" Type="http://schemas.openxmlformats.org/officeDocument/2006/relationships/hyperlink" Target="http://aclweb.org/anthology/P18-1254" TargetMode="External"/><Relationship Id="rId496" Type="http://schemas.openxmlformats.org/officeDocument/2006/relationships/hyperlink" Target="http://aclweb.org/anthology/D18-1163" TargetMode="External"/><Relationship Id="rId11" Type="http://schemas.openxmlformats.org/officeDocument/2006/relationships/hyperlink" Target="http://aclweb.org/anthology/P18-1167" TargetMode="External"/><Relationship Id="rId53" Type="http://schemas.openxmlformats.org/officeDocument/2006/relationships/hyperlink" Target="https://arxiv.org/pdf/1712.08243.pdf" TargetMode="External"/><Relationship Id="rId149" Type="http://schemas.openxmlformats.org/officeDocument/2006/relationships/hyperlink" Target="https://arxiv.org/abs/1812.00415" TargetMode="External"/><Relationship Id="rId314" Type="http://schemas.openxmlformats.org/officeDocument/2006/relationships/hyperlink" Target="https://arxiv.org/abs/1811.08943" TargetMode="External"/><Relationship Id="rId356" Type="http://schemas.openxmlformats.org/officeDocument/2006/relationships/hyperlink" Target="https://aclanthology.info/papers/N18-1005/n18-1005" TargetMode="External"/><Relationship Id="rId398" Type="http://schemas.openxmlformats.org/officeDocument/2006/relationships/hyperlink" Target="http://aclweb.org/anthology/P18-4007" TargetMode="External"/><Relationship Id="rId521" Type="http://schemas.openxmlformats.org/officeDocument/2006/relationships/hyperlink" Target="https://papers.nips.cc/paper/8061-deep-network-for-the-integrated-3d-sensing-of-multiple-people-in-natural-images.pdf" TargetMode="External"/><Relationship Id="rId563" Type="http://schemas.openxmlformats.org/officeDocument/2006/relationships/hyperlink" Target="http://aclweb.org/anthology/N18-1025" TargetMode="External"/><Relationship Id="rId619" Type="http://schemas.openxmlformats.org/officeDocument/2006/relationships/hyperlink" Target="http://aclweb.org/anthology/D18-1508" TargetMode="External"/><Relationship Id="rId95" Type="http://schemas.openxmlformats.org/officeDocument/2006/relationships/hyperlink" Target="https://arxiv.org/pdf/1808.02602.pdf" TargetMode="External"/><Relationship Id="rId160" Type="http://schemas.openxmlformats.org/officeDocument/2006/relationships/hyperlink" Target="https://arxiv.org/abs/1801.08640" TargetMode="External"/><Relationship Id="rId216" Type="http://schemas.openxmlformats.org/officeDocument/2006/relationships/hyperlink" Target="http://openaccess.thecvf.com/content_iccv_2017/html/Bouman_Turning_Corners_Into_ICCV_2017_paper.html" TargetMode="External"/><Relationship Id="rId423" Type="http://schemas.openxmlformats.org/officeDocument/2006/relationships/hyperlink" Target="https://openreview.net/forum?id=SywXXwJAb" TargetMode="External"/><Relationship Id="rId258" Type="http://schemas.openxmlformats.org/officeDocument/2006/relationships/hyperlink" Target="http://openaccess.thecvf.com/content_ECCV_2018/html/Jue_Wang_Learning_Discriminative_Video_ECCV_2018_paper.html" TargetMode="External"/><Relationship Id="rId465" Type="http://schemas.openxmlformats.org/officeDocument/2006/relationships/hyperlink" Target="http://proceedings.mlr.press/v80/brukhim18a.html" TargetMode="External"/><Relationship Id="rId630" Type="http://schemas.openxmlformats.org/officeDocument/2006/relationships/hyperlink" Target="https://aclanthology.info/papers/D18-1141/d18-1141" TargetMode="External"/><Relationship Id="rId22" Type="http://schemas.openxmlformats.org/officeDocument/2006/relationships/hyperlink" Target="https://www.kdd.org/kdd2018/accepted-papers/view/hetero-convlstm-a-deep-learning-approach-to-traffic-accident-prediction-on-" TargetMode="External"/><Relationship Id="rId64" Type="http://schemas.openxmlformats.org/officeDocument/2006/relationships/hyperlink" Target="http://mucmd.org/CameraReadySubmissions/9%5CCameraReadySubmission%5CCLC_camera_ready.pdf" TargetMode="External"/><Relationship Id="rId118" Type="http://schemas.openxmlformats.org/officeDocument/2006/relationships/hyperlink" Target="https://arxiv.org/pdf/1807.02599.pdf" TargetMode="External"/><Relationship Id="rId325" Type="http://schemas.openxmlformats.org/officeDocument/2006/relationships/hyperlink" Target="https://arxiv.org/abs/1811.10958" TargetMode="External"/><Relationship Id="rId367" Type="http://schemas.openxmlformats.org/officeDocument/2006/relationships/hyperlink" Target="https://aclanthology.info/papers/D18-1133/d18-1133" TargetMode="External"/><Relationship Id="rId532" Type="http://schemas.openxmlformats.org/officeDocument/2006/relationships/hyperlink" Target="http://proceedings.mlr.press/v80/chen18h.html" TargetMode="External"/><Relationship Id="rId574" Type="http://schemas.openxmlformats.org/officeDocument/2006/relationships/hyperlink" Target="https://www.kdd.org/kdd2018/accepted-papers/view/scalable-spectral-clustering-using-random-binning-features" TargetMode="External"/><Relationship Id="rId171" Type="http://schemas.openxmlformats.org/officeDocument/2006/relationships/hyperlink" Target="http://openaccess.thecvf.com/content_cvpr_2018/html/Kalayeh_Human_Semantic_Parsing_CVPR_2018_paper.html" TargetMode="External"/><Relationship Id="rId227" Type="http://schemas.openxmlformats.org/officeDocument/2006/relationships/hyperlink" Target="http://openaccess.thecvf.com/content_cvpr_2018/html/Yu_An_Efficient_and_CVPR_2018_paper.html" TargetMode="External"/><Relationship Id="rId269" Type="http://schemas.openxmlformats.org/officeDocument/2006/relationships/hyperlink" Target="http://openaccess.thecvf.com/content_ECCV_2018/html/Pau_Rodriguez_Lopez_Attend_and_Rectify_ECCV_2018_paper.html" TargetMode="External"/><Relationship Id="rId434" Type="http://schemas.openxmlformats.org/officeDocument/2006/relationships/hyperlink" Target="https://www.kdd.org/kdd2018/accepted-papers/view/model-based-clustering-of-short-text-streams" TargetMode="External"/><Relationship Id="rId476" Type="http://schemas.openxmlformats.org/officeDocument/2006/relationships/hyperlink" Target="https://www.kdd.org/kdd2018/accepted-papers/view/resolving-abstract-anaphora-in-conversational-assistants-using-a-hierarchic" TargetMode="External"/><Relationship Id="rId33" Type="http://schemas.openxmlformats.org/officeDocument/2006/relationships/hyperlink" Target="http://openaccess.thecvf.com/content_iccv_2017/html/Panda_Weakly_Supervised_Summarization_ICCV_2017_paper.html" TargetMode="External"/><Relationship Id="rId129" Type="http://schemas.openxmlformats.org/officeDocument/2006/relationships/hyperlink" Target="https://arxiv.org/abs/1705.08078" TargetMode="External"/><Relationship Id="rId280" Type="http://schemas.openxmlformats.org/officeDocument/2006/relationships/hyperlink" Target="http://openaccess.thecvf.com/content_iccv_2017/html/Liu_Video_Frame_Synthesis_ICCV_2017_paper.html" TargetMode="External"/><Relationship Id="rId336" Type="http://schemas.openxmlformats.org/officeDocument/2006/relationships/hyperlink" Target="https://arxiv.org/abs/1811.12254" TargetMode="External"/><Relationship Id="rId501" Type="http://schemas.openxmlformats.org/officeDocument/2006/relationships/hyperlink" Target="http://openaccess.thecvf.com/content_iccv_2017/html/Maksai_Non-Markovian_Globally_Consistent_ICCV_2017_paper.html" TargetMode="External"/><Relationship Id="rId543" Type="http://schemas.openxmlformats.org/officeDocument/2006/relationships/hyperlink" Target="https://aaai.org/ocs/index.php/AAAI/AAAI18/paper/view/16199/15676" TargetMode="External"/><Relationship Id="rId75" Type="http://schemas.openxmlformats.org/officeDocument/2006/relationships/hyperlink" Target="http://mucmd.org/CameraReadySubmissions/46%5CCameraReadySubmission%5Cmain.pdf" TargetMode="External"/><Relationship Id="rId140" Type="http://schemas.openxmlformats.org/officeDocument/2006/relationships/hyperlink" Target="https://arxiv.org/abs/1812.00531" TargetMode="External"/><Relationship Id="rId182" Type="http://schemas.openxmlformats.org/officeDocument/2006/relationships/hyperlink" Target="http://openaccess.thecvf.com/content_cvpr_2018/html/Kozerawski_CLEAR_Cumulative_LEARning_CVPR_2018_paper.html" TargetMode="External"/><Relationship Id="rId378" Type="http://schemas.openxmlformats.org/officeDocument/2006/relationships/hyperlink" Target="http://aclweb.org/anthology/D18-1363" TargetMode="External"/><Relationship Id="rId403" Type="http://schemas.openxmlformats.org/officeDocument/2006/relationships/hyperlink" Target="https://papers.nips.cc/paper/7574-q-learning-with-nearest-neighbors.pdf" TargetMode="External"/><Relationship Id="rId585" Type="http://schemas.openxmlformats.org/officeDocument/2006/relationships/hyperlink" Target="https://www.kdd.org/kdd2018/accepted-papers/view/scalable-active-learning-by-approximated-error-reduction" TargetMode="External"/><Relationship Id="rId6" Type="http://schemas.openxmlformats.org/officeDocument/2006/relationships/hyperlink" Target="http://openaccess.thecvf.com/content_cvpr_2018/html/Rupprecht_Guide_Me_Interacting_CVPR_2018_paper.html" TargetMode="External"/><Relationship Id="rId238" Type="http://schemas.openxmlformats.org/officeDocument/2006/relationships/hyperlink" Target="http://openaccess.thecvf.com/content_cvpr_2018/html/Dong_Style_Aggregated_Network_CVPR_2018_paper.html" TargetMode="External"/><Relationship Id="rId445" Type="http://schemas.openxmlformats.org/officeDocument/2006/relationships/hyperlink" Target="https://openreview.net/forum?id=Sk2u1g-0-" TargetMode="External"/><Relationship Id="rId487" Type="http://schemas.openxmlformats.org/officeDocument/2006/relationships/hyperlink" Target="https://papers.nips.cc/paper/7879-l4-practical-loss-based-stepsize-adaptation-for-deep-learning.pdf" TargetMode="External"/><Relationship Id="rId610" Type="http://schemas.openxmlformats.org/officeDocument/2006/relationships/hyperlink" Target="http://aclweb.org/anthology/N18-1030" TargetMode="External"/><Relationship Id="rId291" Type="http://schemas.openxmlformats.org/officeDocument/2006/relationships/hyperlink" Target="http://openaccess.thecvf.com/content_iccv_2017/html/Tatarchenko_Octree_Generating_Networks_ICCV_2017_paper.html" TargetMode="External"/><Relationship Id="rId305" Type="http://schemas.openxmlformats.org/officeDocument/2006/relationships/hyperlink" Target="http://openaccess.thecvf.com/content_iccv_2017/html/Gallardo_Dense_Non-Rigid_Structure-From-Motion_ICCV_2017_paper.html" TargetMode="External"/><Relationship Id="rId347" Type="http://schemas.openxmlformats.org/officeDocument/2006/relationships/hyperlink" Target="https://arxiv.org/abs/1901.06618" TargetMode="External"/><Relationship Id="rId512" Type="http://schemas.openxmlformats.org/officeDocument/2006/relationships/hyperlink" Target="https://openreview.net/forum?id=Sy2ogebAW" TargetMode="External"/><Relationship Id="rId44" Type="http://schemas.openxmlformats.org/officeDocument/2006/relationships/hyperlink" Target="https://www.mlforhc.org/s/11.pdf" TargetMode="External"/><Relationship Id="rId86" Type="http://schemas.openxmlformats.org/officeDocument/2006/relationships/hyperlink" Target="http://mucmd.org/CameraReadySubmissions/62%5CCameraReadySubmission%5Cmedgan-mlhc-2017.pdf" TargetMode="External"/><Relationship Id="rId151" Type="http://schemas.openxmlformats.org/officeDocument/2006/relationships/hyperlink" Target="https://arxiv.org/abs/1812.01063" TargetMode="External"/><Relationship Id="rId389" Type="http://schemas.openxmlformats.org/officeDocument/2006/relationships/hyperlink" Target="http://aclweb.org/anthology/P18-1123" TargetMode="External"/><Relationship Id="rId554" Type="http://schemas.openxmlformats.org/officeDocument/2006/relationships/hyperlink" Target="https://acl2018.org/paper/844" TargetMode="External"/><Relationship Id="rId596" Type="http://schemas.openxmlformats.org/officeDocument/2006/relationships/hyperlink" Target="http://proceedings.mlr.press/v80/diakonikolas18a.html" TargetMode="External"/><Relationship Id="rId193" Type="http://schemas.openxmlformats.org/officeDocument/2006/relationships/hyperlink" Target="http://openaccess.thecvf.com/content_ECCV_2018/html/Zhipeng_Cai_Deterministic_Consensus_Maximization_ECCV_2018_paper.html" TargetMode="External"/><Relationship Id="rId207" Type="http://schemas.openxmlformats.org/officeDocument/2006/relationships/hyperlink" Target="http://openaccess.thecvf.com/content_ECCV_2018/html/Zheng_Dang_Eigendecomposition-free_Training_of_ECCV_2018_paper.html" TargetMode="External"/><Relationship Id="rId249" Type="http://schemas.openxmlformats.org/officeDocument/2006/relationships/hyperlink" Target="http://openaccess.thecvf.com/content_ECCV_2018/html/Yao_Feng_Joint_3D_Face_ECCV_2018_paper.html" TargetMode="External"/><Relationship Id="rId414" Type="http://schemas.openxmlformats.org/officeDocument/2006/relationships/hyperlink" Target="https://openreview.net/forum?id=B1l8BtlCb" TargetMode="External"/><Relationship Id="rId456" Type="http://schemas.openxmlformats.org/officeDocument/2006/relationships/hyperlink" Target="http://aclweb.org/anthology/N18-1019" TargetMode="External"/><Relationship Id="rId498" Type="http://schemas.openxmlformats.org/officeDocument/2006/relationships/hyperlink" Target="http://openaccess.thecvf.com/content_iccv_2017/html/Maksai_Non-Markovian_Globally_Consistent_ICCV_2017_paper.html" TargetMode="External"/><Relationship Id="rId621" Type="http://schemas.openxmlformats.org/officeDocument/2006/relationships/hyperlink" Target="http://aclweb.org/anthology/D18-1508" TargetMode="External"/><Relationship Id="rId13" Type="http://schemas.openxmlformats.org/officeDocument/2006/relationships/hyperlink" Target="https://aclanthology.info/papers/N18-1002/n18-1002" TargetMode="External"/><Relationship Id="rId109" Type="http://schemas.openxmlformats.org/officeDocument/2006/relationships/hyperlink" Target="https://arxiv.org/pdf/1807.01514.pdf" TargetMode="External"/><Relationship Id="rId260" Type="http://schemas.openxmlformats.org/officeDocument/2006/relationships/hyperlink" Target="http://openaccess.thecvf.com/content_ECCV_2018/html/Jue_Wang_Learning_Discriminative_Video_ECCV_2018_paper.html" TargetMode="External"/><Relationship Id="rId316" Type="http://schemas.openxmlformats.org/officeDocument/2006/relationships/hyperlink" Target="https://arxiv.org/abs/1811.06094" TargetMode="External"/><Relationship Id="rId523" Type="http://schemas.openxmlformats.org/officeDocument/2006/relationships/hyperlink" Target="http://proceedings.mlr.press/v80/kondor18a.html" TargetMode="External"/><Relationship Id="rId55" Type="http://schemas.openxmlformats.org/officeDocument/2006/relationships/hyperlink" Target="https://www.mlforhc.org/s/23.pdf" TargetMode="External"/><Relationship Id="rId97" Type="http://schemas.openxmlformats.org/officeDocument/2006/relationships/hyperlink" Target="http://arxiv.org/pdf/1807.01619.pdf" TargetMode="External"/><Relationship Id="rId120" Type="http://schemas.openxmlformats.org/officeDocument/2006/relationships/hyperlink" Target="https://arxiv.org/abs/1811.08592" TargetMode="External"/><Relationship Id="rId358" Type="http://schemas.openxmlformats.org/officeDocument/2006/relationships/hyperlink" Target="http://aclweb.org/anthology/N18-1005" TargetMode="External"/><Relationship Id="rId565" Type="http://schemas.openxmlformats.org/officeDocument/2006/relationships/hyperlink" Target="http://aclweb.org/anthology/N18-1025" TargetMode="External"/><Relationship Id="rId162" Type="http://schemas.openxmlformats.org/officeDocument/2006/relationships/hyperlink" Target="https://arxiv.org/abs/1801.08640" TargetMode="External"/><Relationship Id="rId218" Type="http://schemas.openxmlformats.org/officeDocument/2006/relationships/hyperlink" Target="http://openaccess.thecvf.com/content_iccv_2017/html/Gadde_Semantic_Video_CNNs_ICCV_2017_paper.html" TargetMode="External"/><Relationship Id="rId425" Type="http://schemas.openxmlformats.org/officeDocument/2006/relationships/hyperlink" Target="https://www.kdd.org/kdd2018/accepted-papers/view/bagminhash-minwise-hashing-algorithm-for-weighted-sets" TargetMode="External"/><Relationship Id="rId467" Type="http://schemas.openxmlformats.org/officeDocument/2006/relationships/hyperlink" Target="http://proceedings.mlr.press/v80/poon18a.html" TargetMode="External"/><Relationship Id="rId632" Type="http://schemas.openxmlformats.org/officeDocument/2006/relationships/hyperlink" Target="http://aclweb.org/anthology/D18-1063" TargetMode="External"/><Relationship Id="rId271" Type="http://schemas.openxmlformats.org/officeDocument/2006/relationships/hyperlink" Target="http://openaccess.thecvf.com/content_ECCV_2018/html/Pau_Rodriguez_Lopez_Attend_and_Rectify_ECCV_2018_paper.html" TargetMode="External"/><Relationship Id="rId24" Type="http://schemas.openxmlformats.org/officeDocument/2006/relationships/hyperlink" Target="http://delivery.acm.org/10.1145/3230000/3220068/p2357-tu.pdf?ip=76.71.73.74&amp;id=3220068&amp;acc=OPENTOC&amp;key=4D4702B0C3E38B35%2E4D4702B0C3E38B35%2E4D4702B0C3E38B35%2E054E54E275136550&amp;__acm__=1551578034_a65909f657cae10bf71734fe88471b06" TargetMode="External"/><Relationship Id="rId66" Type="http://schemas.openxmlformats.org/officeDocument/2006/relationships/hyperlink" Target="http://mucmd.org/CameraReadySubmissions/16_short_fuse_paper(1).pdf" TargetMode="External"/><Relationship Id="rId131" Type="http://schemas.openxmlformats.org/officeDocument/2006/relationships/hyperlink" Target="https://arxiv.org/abs/1811.09673" TargetMode="External"/><Relationship Id="rId327" Type="http://schemas.openxmlformats.org/officeDocument/2006/relationships/hyperlink" Target="https://arxiv.org/abs/1812.00209" TargetMode="External"/><Relationship Id="rId369" Type="http://schemas.openxmlformats.org/officeDocument/2006/relationships/hyperlink" Target="http://aclweb.org/anthology/D18-1133" TargetMode="External"/><Relationship Id="rId534" Type="http://schemas.openxmlformats.org/officeDocument/2006/relationships/hyperlink" Target="http://proceedings.mlr.press/v80/oliva18a.html" TargetMode="External"/><Relationship Id="rId576" Type="http://schemas.openxmlformats.org/officeDocument/2006/relationships/hyperlink" Target="https://www.kdd.org/kdd2018/accepted-papers/view/scalable-spectral-clustering-using-random-binning-features" TargetMode="External"/><Relationship Id="rId173" Type="http://schemas.openxmlformats.org/officeDocument/2006/relationships/hyperlink" Target="http://openaccess.thecvf.com/content_cvpr_2018/html/Noh_Improving_Occlusion_and_CVPR_2018_paper.html" TargetMode="External"/><Relationship Id="rId229" Type="http://schemas.openxmlformats.org/officeDocument/2006/relationships/hyperlink" Target="http://openaccess.thecvf.com/content_cvpr_2018/html/Li_Learning_Spatial-Temporal_Regularized_CVPR_2018_paper.html" TargetMode="External"/><Relationship Id="rId380" Type="http://schemas.openxmlformats.org/officeDocument/2006/relationships/hyperlink" Target="http://aclweb.org/anthology/D18-1528" TargetMode="External"/><Relationship Id="rId436" Type="http://schemas.openxmlformats.org/officeDocument/2006/relationships/hyperlink" Target="https://www.kdd.org/kdd2018/accepted-papers/view/model-based-clustering-of-short-text-streams" TargetMode="External"/><Relationship Id="rId601" Type="http://schemas.openxmlformats.org/officeDocument/2006/relationships/hyperlink" Target="https://aclanthology.info/papers/N18-1028/n18-1028" TargetMode="External"/><Relationship Id="rId240" Type="http://schemas.openxmlformats.org/officeDocument/2006/relationships/hyperlink" Target="http://openaccess.thecvf.com/content_cvpr_2018/html/Mohapatra_Efficient_Optimization_for_CVPR_2018_paper.html" TargetMode="External"/><Relationship Id="rId478" Type="http://schemas.openxmlformats.org/officeDocument/2006/relationships/hyperlink" Target="https://www.kdd.org/kdd2018/accepted-papers/view/leveraging-meta-path-based-context-for-top-n-recommendation-with-co-attenti" TargetMode="External"/><Relationship Id="rId35" Type="http://schemas.openxmlformats.org/officeDocument/2006/relationships/hyperlink" Target="https://www.mlforhc.org/s/Tonekaboni_S" TargetMode="External"/><Relationship Id="rId77" Type="http://schemas.openxmlformats.org/officeDocument/2006/relationships/hyperlink" Target="http://mucmd.org/CameraReadySubmissions/52%5CCameraReadySubmission%5CMLHC_2017_FINAL_cameraready.pdf" TargetMode="External"/><Relationship Id="rId100" Type="http://schemas.openxmlformats.org/officeDocument/2006/relationships/hyperlink" Target="https://arxiv.org/pdf/1807.00637.pdf" TargetMode="External"/><Relationship Id="rId282" Type="http://schemas.openxmlformats.org/officeDocument/2006/relationships/hyperlink" Target="http://openaccess.thecvf.com/content_ICCV_2017/papers/Cherian_Learning_Discriminative_ab-Divergences_ICCV_2017_paper.pdf" TargetMode="External"/><Relationship Id="rId338" Type="http://schemas.openxmlformats.org/officeDocument/2006/relationships/hyperlink" Target="https://arxiv.org/abs/1811.12254" TargetMode="External"/><Relationship Id="rId503" Type="http://schemas.openxmlformats.org/officeDocument/2006/relationships/hyperlink" Target="http://openaccess.thecvf.com/content_ECCV_2018/html/Damien_Teney_Visual_Question_Answering_ECCV_2018_paper.html" TargetMode="External"/><Relationship Id="rId545" Type="http://schemas.openxmlformats.org/officeDocument/2006/relationships/hyperlink" Target="https://aaai.org/ocs/index.php/AAAI/AAAI18/paper/view/17085/15677" TargetMode="External"/><Relationship Id="rId587" Type="http://schemas.openxmlformats.org/officeDocument/2006/relationships/hyperlink" Target="https://www.kdd.org/kdd2018/accepted-papers/view/scalable-active-learning-by-approximated-error-reduction" TargetMode="External"/><Relationship Id="rId8" Type="http://schemas.openxmlformats.org/officeDocument/2006/relationships/hyperlink" Target="https://aclanthology.info/papers/D18-1138/d18-1138" TargetMode="External"/><Relationship Id="rId142" Type="http://schemas.openxmlformats.org/officeDocument/2006/relationships/hyperlink" Target="https://arxiv.org/abs/1811.09950" TargetMode="External"/><Relationship Id="rId184" Type="http://schemas.openxmlformats.org/officeDocument/2006/relationships/hyperlink" Target="http://openaccess.thecvf.com/content_cvpr_2018/html/Kozerawski_CLEAR_Cumulative_LEARning_CVPR_2018_paper.html" TargetMode="External"/><Relationship Id="rId391" Type="http://schemas.openxmlformats.org/officeDocument/2006/relationships/hyperlink" Target="http://aclweb.org/anthology/N18-1010" TargetMode="External"/><Relationship Id="rId405" Type="http://schemas.openxmlformats.org/officeDocument/2006/relationships/hyperlink" Target="https://www.ncbi.nlm.nih.gov/pubmed/15277596" TargetMode="External"/><Relationship Id="rId447" Type="http://schemas.openxmlformats.org/officeDocument/2006/relationships/hyperlink" Target="https://openreview.net/forum?id=BJRZzFlRb" TargetMode="External"/><Relationship Id="rId612" Type="http://schemas.openxmlformats.org/officeDocument/2006/relationships/hyperlink" Target="https://aclanthology.info/papers/D18-1019/d18-1019" TargetMode="External"/><Relationship Id="rId251" Type="http://schemas.openxmlformats.org/officeDocument/2006/relationships/hyperlink" Target="http://openaccess.thecvf.com/content_ECCV_2018/html/Yao_Feng_Joint_3D_Face_ECCV_2018_paper.html" TargetMode="External"/><Relationship Id="rId489" Type="http://schemas.openxmlformats.org/officeDocument/2006/relationships/hyperlink" Target="https://papers.nips.cc/paper/7879-l4-practical-loss-based-stepsize-adaptation-for-deep-learning.pdf" TargetMode="External"/><Relationship Id="rId46" Type="http://schemas.openxmlformats.org/officeDocument/2006/relationships/hyperlink" Target="https://www.mlforhc.org/s/12.pdf" TargetMode="External"/><Relationship Id="rId293" Type="http://schemas.openxmlformats.org/officeDocument/2006/relationships/hyperlink" Target="http://openaccess.thecvf.com/content_iccv_2017/html/Zhu_Unpaired_Image-To-Image_Translation_ICCV_2017_paper.html" TargetMode="External"/><Relationship Id="rId307" Type="http://schemas.openxmlformats.org/officeDocument/2006/relationships/hyperlink" Target="https://arxiv.org/abs/1811.08803" TargetMode="External"/><Relationship Id="rId349" Type="http://schemas.openxmlformats.org/officeDocument/2006/relationships/hyperlink" Target="https://arxiv.org/abs/1811.08615" TargetMode="External"/><Relationship Id="rId514" Type="http://schemas.openxmlformats.org/officeDocument/2006/relationships/hyperlink" Target="https://papers.nips.cc/paper/7739-densely-connected-attention-propagation-for-reading-comprehension.pdf" TargetMode="External"/><Relationship Id="rId556" Type="http://schemas.openxmlformats.org/officeDocument/2006/relationships/hyperlink" Target="https://acl2018.org/paper/1626" TargetMode="External"/><Relationship Id="rId88" Type="http://schemas.openxmlformats.org/officeDocument/2006/relationships/hyperlink" Target="http://mucmd.org/CameraReadySubmissions/65%5CCameraReadySubmission%5Cclinical-intervention-prediction%20(4).pdf" TargetMode="External"/><Relationship Id="rId111" Type="http://schemas.openxmlformats.org/officeDocument/2006/relationships/hyperlink" Target="https://arxiv.org/pdf/1807.03095.pdf" TargetMode="External"/><Relationship Id="rId153" Type="http://schemas.openxmlformats.org/officeDocument/2006/relationships/hyperlink" Target="https://arxiv.org/abs/1812.01063" TargetMode="External"/><Relationship Id="rId195" Type="http://schemas.openxmlformats.org/officeDocument/2006/relationships/hyperlink" Target="http://openaccess.thecvf.com/content_ECCV_2018/html/Jiren_Zhu_HiDDeN_Hiding_Data_ECCV_2018_paper.html" TargetMode="External"/><Relationship Id="rId209" Type="http://schemas.openxmlformats.org/officeDocument/2006/relationships/hyperlink" Target="http://openaccess.thecvf.com/content_ECCV_2018/html/Chenglong_Li_Cross-Modal_Ranking_with_ECCV_2018_paper.html" TargetMode="External"/><Relationship Id="rId360" Type="http://schemas.openxmlformats.org/officeDocument/2006/relationships/hyperlink" Target="https://acl2018.org/paper/1095" TargetMode="External"/><Relationship Id="rId416" Type="http://schemas.openxmlformats.org/officeDocument/2006/relationships/hyperlink" Target="http://aclweb.org/anthology/N18-1014" TargetMode="External"/><Relationship Id="rId598" Type="http://schemas.openxmlformats.org/officeDocument/2006/relationships/hyperlink" Target="http://proceedings.mlr.press/v80/lu18d.html" TargetMode="External"/><Relationship Id="rId220" Type="http://schemas.openxmlformats.org/officeDocument/2006/relationships/hyperlink" Target="http://openaccess.thecvf.com/content_iccv_2017/html/Hu_Attribute-Enhanced_Face_Recognition_ICCV_2017_paper.html" TargetMode="External"/><Relationship Id="rId458" Type="http://schemas.openxmlformats.org/officeDocument/2006/relationships/hyperlink" Target="http://proceedings.mlr.press/v80/depeweg18a.html" TargetMode="External"/><Relationship Id="rId623" Type="http://schemas.openxmlformats.org/officeDocument/2006/relationships/hyperlink" Target="https://aclanthology.info/papers/D18-1302/d18-1302" TargetMode="External"/><Relationship Id="rId15" Type="http://schemas.openxmlformats.org/officeDocument/2006/relationships/hyperlink" Target="https://papers.nips.cc/paper/7892-neural-ordinary-differential-equations.pdf" TargetMode="External"/><Relationship Id="rId57" Type="http://schemas.openxmlformats.org/officeDocument/2006/relationships/hyperlink" Target="https://www.mlforhc.org/s/25.pdf" TargetMode="External"/><Relationship Id="rId262" Type="http://schemas.openxmlformats.org/officeDocument/2006/relationships/hyperlink" Target="http://openaccess.thecvf.com/content_ECCV_2018/html/Chunrui_Han_Face_Recognition_with_ECCV_2018_paper.html" TargetMode="External"/><Relationship Id="rId318" Type="http://schemas.openxmlformats.org/officeDocument/2006/relationships/hyperlink" Target="https://arxiv.org/abs/1807.10215" TargetMode="External"/><Relationship Id="rId525" Type="http://schemas.openxmlformats.org/officeDocument/2006/relationships/hyperlink" Target="https://papers.nips.cc/paper/7589-deep-complex-invertible-networks-for-inversion-of-transmission-effects-in-multimode-optical-fibres.pdf" TargetMode="External"/><Relationship Id="rId567" Type="http://schemas.openxmlformats.org/officeDocument/2006/relationships/hyperlink" Target="http://aclweb.org/anthology/N18-1025" TargetMode="External"/><Relationship Id="rId99" Type="http://schemas.openxmlformats.org/officeDocument/2006/relationships/hyperlink" Target="https://arxiv.org/pdf/1807.00637.pdf" TargetMode="External"/><Relationship Id="rId122" Type="http://schemas.openxmlformats.org/officeDocument/2006/relationships/hyperlink" Target="https://arxiv.org/abs/1811.10799" TargetMode="External"/><Relationship Id="rId164" Type="http://schemas.openxmlformats.org/officeDocument/2006/relationships/hyperlink" Target="https://arxiv.org/abs/1801.08640" TargetMode="External"/><Relationship Id="rId371" Type="http://schemas.openxmlformats.org/officeDocument/2006/relationships/hyperlink" Target="http://aclweb.org/anthology/D18-1133" TargetMode="External"/><Relationship Id="rId427" Type="http://schemas.openxmlformats.org/officeDocument/2006/relationships/hyperlink" Target="https://www.gutenberg.org/ebooks/" TargetMode="External"/><Relationship Id="rId469" Type="http://schemas.openxmlformats.org/officeDocument/2006/relationships/hyperlink" Target="https://aaai.org/ocs/index.php/AAAI/AAAI18/paper/view/17356" TargetMode="External"/><Relationship Id="rId634" Type="http://schemas.openxmlformats.org/officeDocument/2006/relationships/hyperlink" Target="http://aclweb.org/anthology/D18-1063" TargetMode="External"/><Relationship Id="rId26" Type="http://schemas.openxmlformats.org/officeDocument/2006/relationships/hyperlink" Target="http://openaccess.thecvf.com/content_ECCV_2018/html/Sheng_Guo_CurriculumNet_Learning_from_ECCV_2018_paper.html" TargetMode="External"/><Relationship Id="rId231" Type="http://schemas.openxmlformats.org/officeDocument/2006/relationships/hyperlink" Target="http://openaccess.thecvf.com/content_cvpr_2018/html/Islam_Revisiting_Salient_Object_CVPR_2018_paper.html" TargetMode="External"/><Relationship Id="rId273" Type="http://schemas.openxmlformats.org/officeDocument/2006/relationships/hyperlink" Target="http://openaccess.thecvf.com/content_iccv_2017/html/Furukawa_Depth_Estimation_Using_ICCV_2017_paper.html" TargetMode="External"/><Relationship Id="rId329" Type="http://schemas.openxmlformats.org/officeDocument/2006/relationships/hyperlink" Target="https://arxiv.org/abs/1812.00418" TargetMode="External"/><Relationship Id="rId480" Type="http://schemas.openxmlformats.org/officeDocument/2006/relationships/hyperlink" Target="https://www.kdd.org/kdd2018/accepted-papers/view/leveraging-meta-path-based-context-for-top-n-recommendation-with-co-attenti" TargetMode="External"/><Relationship Id="rId536" Type="http://schemas.openxmlformats.org/officeDocument/2006/relationships/hyperlink" Target="http://proceedings.mlr.press/v80/oliva18a.html" TargetMode="External"/><Relationship Id="rId68" Type="http://schemas.openxmlformats.org/officeDocument/2006/relationships/hyperlink" Target="http://mucmd.org/CameraReadySubmissions/25%5CCameraReadySubmission%5Csample.pdf" TargetMode="External"/><Relationship Id="rId133" Type="http://schemas.openxmlformats.org/officeDocument/2006/relationships/hyperlink" Target="https://arxiv.org/abs/1811.10455" TargetMode="External"/><Relationship Id="rId175" Type="http://schemas.openxmlformats.org/officeDocument/2006/relationships/hyperlink" Target="http://openaccess.thecvf.com/content_cvpr_2018/html/Hong_pOSE_Pseudo_Object_CVPR_2018_paper.html" TargetMode="External"/><Relationship Id="rId340" Type="http://schemas.openxmlformats.org/officeDocument/2006/relationships/hyperlink" Target="https://arxiv.org/abs/1812.07102" TargetMode="External"/><Relationship Id="rId578" Type="http://schemas.openxmlformats.org/officeDocument/2006/relationships/hyperlink" Target="https://www.kdd.org/kdd2018/accepted-papers/view/scalable-spectral-clustering-using-random-binning-features" TargetMode="External"/><Relationship Id="rId200" Type="http://schemas.openxmlformats.org/officeDocument/2006/relationships/hyperlink" Target="http://openaccess.thecvf.com/content_iccv_2017/html/Wu_Anticipating_Daily_Intention_ICCV_2017_paper.html" TargetMode="External"/><Relationship Id="rId382" Type="http://schemas.openxmlformats.org/officeDocument/2006/relationships/hyperlink" Target="http://aclweb.org/anthology/P18-3015" TargetMode="External"/><Relationship Id="rId438" Type="http://schemas.openxmlformats.org/officeDocument/2006/relationships/hyperlink" Target="http://aclweb.org/anthology/N18-1016" TargetMode="External"/><Relationship Id="rId603" Type="http://schemas.openxmlformats.org/officeDocument/2006/relationships/hyperlink" Target="https://aclanthology.info/papers/N18-1029/n18-1029" TargetMode="External"/><Relationship Id="rId242" Type="http://schemas.openxmlformats.org/officeDocument/2006/relationships/hyperlink" Target="http://openaccess.thecvf.com/content_cvpr_2018/html/Mohapatra_Efficient_Optimization_for_CVPR_2018_paper.html" TargetMode="External"/><Relationship Id="rId284" Type="http://schemas.openxmlformats.org/officeDocument/2006/relationships/hyperlink" Target="http://openaccess.thecvf.com/content_ICCV_2017/papers/Cherian_Learning_Discriminative_ab-Divergences_ICCV_2017_paper.pdf" TargetMode="External"/><Relationship Id="rId491" Type="http://schemas.openxmlformats.org/officeDocument/2006/relationships/hyperlink" Target="https://papers.nips.cc/paper/7879-l4-practical-loss-based-stepsize-adaptation-for-deep-learning.pdf" TargetMode="External"/><Relationship Id="rId505" Type="http://schemas.openxmlformats.org/officeDocument/2006/relationships/hyperlink" Target="https://openreview.net/forum?id=rkr1UDeC-" TargetMode="External"/><Relationship Id="rId37" Type="http://schemas.openxmlformats.org/officeDocument/2006/relationships/hyperlink" Target="https://www.mlforhc.org/s/1.pdf" TargetMode="External"/><Relationship Id="rId79" Type="http://schemas.openxmlformats.org/officeDocument/2006/relationships/hyperlink" Target="https://www.facs.org/quality-programs/about/cqi/internetresources/databases" TargetMode="External"/><Relationship Id="rId102" Type="http://schemas.openxmlformats.org/officeDocument/2006/relationships/hyperlink" Target="https://arxiv.org/pdf/1807.01705.pdf" TargetMode="External"/><Relationship Id="rId144" Type="http://schemas.openxmlformats.org/officeDocument/2006/relationships/hyperlink" Target="https://arxiv.org/abs/1812.00490" TargetMode="External"/><Relationship Id="rId547" Type="http://schemas.openxmlformats.org/officeDocument/2006/relationships/hyperlink" Target="https://acl2018.org/paper/228" TargetMode="External"/><Relationship Id="rId589" Type="http://schemas.openxmlformats.org/officeDocument/2006/relationships/hyperlink" Target="https://www.kdd.org/kdd2018/accepted-papers/view/scalable-active-learning-by-approximated-error-reduction" TargetMode="External"/><Relationship Id="rId90" Type="http://schemas.openxmlformats.org/officeDocument/2006/relationships/hyperlink" Target="http://mucmd.org/CameraReadySubmissions/76%5CCameraReadySubmission%5CMLHC.pdf" TargetMode="External"/><Relationship Id="rId186" Type="http://schemas.openxmlformats.org/officeDocument/2006/relationships/hyperlink" Target="http://openaccess.thecvf.com/content_cvpr_2018/html/Paschalidou_RayNet_Learning_Volumetric_CVPR_2018_paper.html" TargetMode="External"/><Relationship Id="rId351" Type="http://schemas.openxmlformats.org/officeDocument/2006/relationships/hyperlink" Target="http://aclweb.org/anthology/N18-1004" TargetMode="External"/><Relationship Id="rId393" Type="http://schemas.openxmlformats.org/officeDocument/2006/relationships/hyperlink" Target="http://aclweb.org/anthology/D18-2020" TargetMode="External"/><Relationship Id="rId407" Type="http://schemas.openxmlformats.org/officeDocument/2006/relationships/hyperlink" Target="https://openreview.net/forum?id=By-7dz-AZ" TargetMode="External"/><Relationship Id="rId449" Type="http://schemas.openxmlformats.org/officeDocument/2006/relationships/hyperlink" Target="https://aaai.org/ocs/index.php/AAAI/AAAI18/paper/view/16893" TargetMode="External"/><Relationship Id="rId614" Type="http://schemas.openxmlformats.org/officeDocument/2006/relationships/hyperlink" Target="http://aclweb.org/anthology/D18-1019" TargetMode="External"/><Relationship Id="rId211" Type="http://schemas.openxmlformats.org/officeDocument/2006/relationships/hyperlink" Target="http://openaccess.thecvf.com/content_ECCV_2018/html/Zerong_Zheng_HybridFusion_Real-Time_Performance_ECCV_2018_paper.html" TargetMode="External"/><Relationship Id="rId253" Type="http://schemas.openxmlformats.org/officeDocument/2006/relationships/hyperlink" Target="http://openaccess.thecvf.com/content_ECCV_2018/html/George_Papandreou_PersonLab_Person_Pose_ECCV_2018_paper.html" TargetMode="External"/><Relationship Id="rId295" Type="http://schemas.openxmlformats.org/officeDocument/2006/relationships/hyperlink" Target="http://openaccess.thecvf.com/content_iccv_2017/html/Zhu_Unpaired_Image-To-Image_Translation_ICCV_2017_paper.html" TargetMode="External"/><Relationship Id="rId309" Type="http://schemas.openxmlformats.org/officeDocument/2006/relationships/hyperlink" Target="http://www.dermnet.com/" TargetMode="External"/><Relationship Id="rId460" Type="http://schemas.openxmlformats.org/officeDocument/2006/relationships/hyperlink" Target="http://proceedings.mlr.press/v80/depeweg18a.html" TargetMode="External"/><Relationship Id="rId516" Type="http://schemas.openxmlformats.org/officeDocument/2006/relationships/hyperlink" Target="https://papers.nips.cc/paper/7739-densely-connected-attention-propagation-for-reading-comprehension.pdf" TargetMode="External"/><Relationship Id="rId48" Type="http://schemas.openxmlformats.org/officeDocument/2006/relationships/hyperlink" Target="https://arxiv.org/abs/1805.05008" TargetMode="External"/><Relationship Id="rId113" Type="http://schemas.openxmlformats.org/officeDocument/2006/relationships/hyperlink" Target="https://arxiv.org/pdf/1807.08039.pdf" TargetMode="External"/><Relationship Id="rId320" Type="http://schemas.openxmlformats.org/officeDocument/2006/relationships/hyperlink" Target="https://arxiv.org/abs/1811.08633" TargetMode="External"/><Relationship Id="rId558" Type="http://schemas.openxmlformats.org/officeDocument/2006/relationships/hyperlink" Target="https://aclanthology.info/papers/N18-1024/n18-1024" TargetMode="External"/><Relationship Id="rId155" Type="http://schemas.openxmlformats.org/officeDocument/2006/relationships/hyperlink" Target="https://arxiv.org/abs/1812.01063" TargetMode="External"/><Relationship Id="rId197" Type="http://schemas.openxmlformats.org/officeDocument/2006/relationships/hyperlink" Target="http://openaccess.thecvf.com/content_iccv_2017/html/Khan_Synergy_Between_Face_ICCV_2017_paper.html" TargetMode="External"/><Relationship Id="rId362" Type="http://schemas.openxmlformats.org/officeDocument/2006/relationships/hyperlink" Target="http://aclweb.org/anthology/D18-1185" TargetMode="External"/><Relationship Id="rId418" Type="http://schemas.openxmlformats.org/officeDocument/2006/relationships/hyperlink" Target="http://aclweb.org/anthology/D18-1350" TargetMode="External"/><Relationship Id="rId625" Type="http://schemas.openxmlformats.org/officeDocument/2006/relationships/hyperlink" Target="http://aclweb.org/anthology/D18-1501" TargetMode="External"/><Relationship Id="rId222" Type="http://schemas.openxmlformats.org/officeDocument/2006/relationships/hyperlink" Target="http://openaccess.thecvf.com/content_iccv_2017/html/Hu_Attribute-Enhanced_Face_Recognition_ICCV_2017_paper.html" TargetMode="External"/><Relationship Id="rId264" Type="http://schemas.openxmlformats.org/officeDocument/2006/relationships/hyperlink" Target="http://openaccess.thecvf.com/content_ECCV_2018/html/Pradeep_Kumar_Jayaraman_Quadtree_Convolutional_Neural_ECCV_2018_paper.html" TargetMode="External"/><Relationship Id="rId471" Type="http://schemas.openxmlformats.org/officeDocument/2006/relationships/hyperlink" Target="http://openaccess.thecvf.com/content_cvpr_2018/html/Marcos_Learning_Deep_Structured_CVPR_2018_paper.html" TargetMode="External"/><Relationship Id="rId17" Type="http://schemas.openxmlformats.org/officeDocument/2006/relationships/hyperlink" Target="http://proceedings.mlr.press/v80/wang18a.html" TargetMode="External"/><Relationship Id="rId59" Type="http://schemas.openxmlformats.org/officeDocument/2006/relationships/hyperlink" Target="https://www.mlforhc.org/s/28.pdf" TargetMode="External"/><Relationship Id="rId124" Type="http://schemas.openxmlformats.org/officeDocument/2006/relationships/hyperlink" Target="https://arxiv.org/abs/1810.10566" TargetMode="External"/><Relationship Id="rId527" Type="http://schemas.openxmlformats.org/officeDocument/2006/relationships/hyperlink" Target="https://papers.nips.cc/paper/8007-neural-architecture-optimization.pdf" TargetMode="External"/><Relationship Id="rId569" Type="http://schemas.openxmlformats.org/officeDocument/2006/relationships/hyperlink" Target="https://www.kdd.org/kdd2018/accepted-papers/view/algorithms-for-hiring-and-outsourcing-in-the-online-labor-market" TargetMode="External"/><Relationship Id="rId70" Type="http://schemas.openxmlformats.org/officeDocument/2006/relationships/hyperlink" Target="http://mucmd.org/CameraReadySubmissions/27%5CCameraReadySubmission%5CFiorini_etal_MLHC2017.pdf" TargetMode="External"/><Relationship Id="rId166" Type="http://schemas.openxmlformats.org/officeDocument/2006/relationships/hyperlink" Target="https://arxiv.org/pdf/1711.06504.pdf" TargetMode="External"/><Relationship Id="rId331" Type="http://schemas.openxmlformats.org/officeDocument/2006/relationships/hyperlink" Target="https://arxiv.org/abs/1810.12780" TargetMode="External"/><Relationship Id="rId373" Type="http://schemas.openxmlformats.org/officeDocument/2006/relationships/hyperlink" Target="https://aclanthology.info/papers/D18-1464/d18-1464" TargetMode="External"/><Relationship Id="rId429" Type="http://schemas.openxmlformats.org/officeDocument/2006/relationships/hyperlink" Target="https://www.gutenberg.org/ebooks/" TargetMode="External"/><Relationship Id="rId580" Type="http://schemas.openxmlformats.org/officeDocument/2006/relationships/hyperlink" Target="https://www.kdd.org/kdd2018/accepted-papers/view/training-big-random-forests-with-little-resources" TargetMode="External"/><Relationship Id="rId636" Type="http://schemas.openxmlformats.org/officeDocument/2006/relationships/hyperlink" Target="http://aclweb.org/anthology/D18-1063" TargetMode="External"/><Relationship Id="rId1" Type="http://schemas.openxmlformats.org/officeDocument/2006/relationships/hyperlink" Target="http://openaccess.thecvf.com/content_cvpr_2018/html/Agudo_Image_Collection_Pop-Up_CVPR_2018_paper.html" TargetMode="External"/><Relationship Id="rId233" Type="http://schemas.openxmlformats.org/officeDocument/2006/relationships/hyperlink" Target="http://openaccess.thecvf.com/content_cvpr_2018/html/Liu_Learning_Deep_Models_CVPR_2018_paper.html" TargetMode="External"/><Relationship Id="rId440" Type="http://schemas.openxmlformats.org/officeDocument/2006/relationships/hyperlink" Target="http://aclweb.org/anthology/D18-1207" TargetMode="External"/><Relationship Id="rId28" Type="http://schemas.openxmlformats.org/officeDocument/2006/relationships/hyperlink" Target="http://openaccess.thecvf.com/content_ECCV_2018/html/Sheng_Guo_CurriculumNet_Learning_from_ECCV_2018_paper.html" TargetMode="External"/><Relationship Id="rId275" Type="http://schemas.openxmlformats.org/officeDocument/2006/relationships/hyperlink" Target="http://openaccess.thecvf.com/content_iccv_2017/html/Luc_Predicting_Deeper_Into_ICCV_2017_paper.html" TargetMode="External"/><Relationship Id="rId300" Type="http://schemas.openxmlformats.org/officeDocument/2006/relationships/hyperlink" Target="http://openaccess.thecvf.com/content_iccv_2017/html/Noroozi_Representation_Learning_by_ICCV_2017_paper.html" TargetMode="External"/><Relationship Id="rId482" Type="http://schemas.openxmlformats.org/officeDocument/2006/relationships/hyperlink" Target="http://proceedings.mlr.press/v80/ott18a.html" TargetMode="External"/><Relationship Id="rId538" Type="http://schemas.openxmlformats.org/officeDocument/2006/relationships/hyperlink" Target="https://aaai.org/ocs/index.php/AAAI/AAAI18/paper/view/16380" TargetMode="External"/><Relationship Id="rId81" Type="http://schemas.openxmlformats.org/officeDocument/2006/relationships/hyperlink" Target="http://mucmd.org/CameraReadySubmissions/54%5CCameraReadySubmission%5Cmucmd_edited.pdf" TargetMode="External"/><Relationship Id="rId135" Type="http://schemas.openxmlformats.org/officeDocument/2006/relationships/hyperlink" Target="https://arxiv.org/abs/1811.10455" TargetMode="External"/><Relationship Id="rId177" Type="http://schemas.openxmlformats.org/officeDocument/2006/relationships/hyperlink" Target="http://openaccess.thecvf.com/content_cvpr_2018/html/Hong_pOSE_Pseudo_Object_CVPR_2018_paper.html" TargetMode="External"/><Relationship Id="rId342" Type="http://schemas.openxmlformats.org/officeDocument/2006/relationships/hyperlink" Target="https://arxiv.org/abs/1812.00172" TargetMode="External"/><Relationship Id="rId384" Type="http://schemas.openxmlformats.org/officeDocument/2006/relationships/hyperlink" Target="http://aclweb.org/anthology/D18-1375" TargetMode="External"/><Relationship Id="rId591" Type="http://schemas.openxmlformats.org/officeDocument/2006/relationships/hyperlink" Target="https://www.kdd.org/kdd2018/accepted-papers/view/easing-embedding-learning-by-comprehensive-transcription-of-heterogeneous-i" TargetMode="External"/><Relationship Id="rId605" Type="http://schemas.openxmlformats.org/officeDocument/2006/relationships/hyperlink" Target="http://aclweb.org/anthology/N18-1029" TargetMode="External"/><Relationship Id="rId202" Type="http://schemas.openxmlformats.org/officeDocument/2006/relationships/hyperlink" Target="http://openaccess.thecvf.com/content_ECCV_2018/html/Mingtao_Feng_3D_Face_Reconstruction_ECCV_2018_paper.html" TargetMode="External"/><Relationship Id="rId244" Type="http://schemas.openxmlformats.org/officeDocument/2006/relationships/hyperlink" Target="http://openaccess.thecvf.com/content_cvpr_2018/html/Wang_Two-Step_Quantization_for_CVPR_2018_paper.html" TargetMode="External"/><Relationship Id="rId39" Type="http://schemas.openxmlformats.org/officeDocument/2006/relationships/hyperlink" Target="https://www.mlforhc.org/s/2.pdf" TargetMode="External"/><Relationship Id="rId286" Type="http://schemas.openxmlformats.org/officeDocument/2006/relationships/hyperlink" Target="http://openaccess.thecvf.com/content_ICCV_2017/papers/Cherian_Learning_Discriminative_ab-Divergences_ICCV_2017_paper.pdf" TargetMode="External"/><Relationship Id="rId451" Type="http://schemas.openxmlformats.org/officeDocument/2006/relationships/hyperlink" Target="https://aaai.org/ocs/index.php/AAAI/AAAI18/paper/view/16738" TargetMode="External"/><Relationship Id="rId493" Type="http://schemas.openxmlformats.org/officeDocument/2006/relationships/hyperlink" Target="http://aclweb.org/anthology/N18-1021" TargetMode="External"/><Relationship Id="rId507" Type="http://schemas.openxmlformats.org/officeDocument/2006/relationships/hyperlink" Target="https://openreview.net/forum?id=rkr1UDeC-" TargetMode="External"/><Relationship Id="rId549" Type="http://schemas.openxmlformats.org/officeDocument/2006/relationships/hyperlink" Target="https://aclanthology.info/papers/D18-1096/d18-1096" TargetMode="External"/><Relationship Id="rId50" Type="http://schemas.openxmlformats.org/officeDocument/2006/relationships/hyperlink" Target="https://www.mlforhc.org/s/18.pdf" TargetMode="External"/><Relationship Id="rId104" Type="http://schemas.openxmlformats.org/officeDocument/2006/relationships/hyperlink" Target="https://arxiv.org/pdf/1807.04077.pdf" TargetMode="External"/><Relationship Id="rId146" Type="http://schemas.openxmlformats.org/officeDocument/2006/relationships/hyperlink" Target="https://arxiv.org/abs/1812.00415" TargetMode="External"/><Relationship Id="rId188" Type="http://schemas.openxmlformats.org/officeDocument/2006/relationships/hyperlink" Target="http://openaccess.thecvf.com/content_cvpr_2018/html/Xie_Environment_Upgrade_Reinforcement_CVPR_2018_paper.html" TargetMode="External"/><Relationship Id="rId311" Type="http://schemas.openxmlformats.org/officeDocument/2006/relationships/hyperlink" Target="https://wiki.cancerimagingarchive.net/display/NLST/National+Lung+Screening+Trial" TargetMode="External"/><Relationship Id="rId353" Type="http://schemas.openxmlformats.org/officeDocument/2006/relationships/hyperlink" Target="http://aclweb.org/anthology/N18-1003" TargetMode="External"/><Relationship Id="rId395" Type="http://schemas.openxmlformats.org/officeDocument/2006/relationships/hyperlink" Target="http://aclweb.org/anthology/D18-1218" TargetMode="External"/><Relationship Id="rId409" Type="http://schemas.openxmlformats.org/officeDocument/2006/relationships/hyperlink" Target="https://openreview.net/forum?id=B1DmUzWAW" TargetMode="External"/><Relationship Id="rId560" Type="http://schemas.openxmlformats.org/officeDocument/2006/relationships/hyperlink" Target="http://aclweb.org/anthology/N18-1026" TargetMode="External"/><Relationship Id="rId92" Type="http://schemas.openxmlformats.org/officeDocument/2006/relationships/hyperlink" Target="https://arxiv.org/pdf/1807.02617.pdf" TargetMode="External"/><Relationship Id="rId213" Type="http://schemas.openxmlformats.org/officeDocument/2006/relationships/hyperlink" Target="http://openaccess.thecvf.com/content_iccv_2017/html/Park_Joint_Estimation_of_ICCV_2017_paper.html" TargetMode="External"/><Relationship Id="rId420" Type="http://schemas.openxmlformats.org/officeDocument/2006/relationships/hyperlink" Target="http://aclweb.org/anthology/P18-2102" TargetMode="External"/><Relationship Id="rId616" Type="http://schemas.openxmlformats.org/officeDocument/2006/relationships/hyperlink" Target="https://aclanthology.info/papers/D18-1068/d18-1068" TargetMode="External"/><Relationship Id="rId255" Type="http://schemas.openxmlformats.org/officeDocument/2006/relationships/hyperlink" Target="http://openaccess.thecvf.com/content_ECCV_2018/html/Yuxin_Wu_Group_Normalization_ECCV_2018_paper.html" TargetMode="External"/><Relationship Id="rId297" Type="http://schemas.openxmlformats.org/officeDocument/2006/relationships/hyperlink" Target="http://openaccess.thecvf.com/content_iccv_2017/html/Noroozi_Representation_Learning_by_ICCV_2017_paper.html" TargetMode="External"/><Relationship Id="rId462" Type="http://schemas.openxmlformats.org/officeDocument/2006/relationships/hyperlink" Target="http://proceedings.mlr.press/v80/john18a.html" TargetMode="External"/><Relationship Id="rId518" Type="http://schemas.openxmlformats.org/officeDocument/2006/relationships/hyperlink" Target="https://papers.nips.cc/paper/7607-hybrid-mst-a-hybrid-active-sampling-strategy-for-pairwise-preference-aggregation.pdf" TargetMode="External"/><Relationship Id="rId115" Type="http://schemas.openxmlformats.org/officeDocument/2006/relationships/hyperlink" Target="https://arxiv.org/pdf/1808.04411.pdf" TargetMode="External"/><Relationship Id="rId157" Type="http://schemas.openxmlformats.org/officeDocument/2006/relationships/hyperlink" Target="https://arxiv.org/abs/1812.00475" TargetMode="External"/><Relationship Id="rId322" Type="http://schemas.openxmlformats.org/officeDocument/2006/relationships/hyperlink" Target="https://arxiv.org/abs/1811.10501" TargetMode="External"/><Relationship Id="rId364" Type="http://schemas.openxmlformats.org/officeDocument/2006/relationships/hyperlink" Target="http://aclweb.org/anthology/D18-1185" TargetMode="External"/><Relationship Id="rId61" Type="http://schemas.openxmlformats.org/officeDocument/2006/relationships/hyperlink" Target="https://www.mlforhc.org/s/31.pdf" TargetMode="External"/><Relationship Id="rId199" Type="http://schemas.openxmlformats.org/officeDocument/2006/relationships/hyperlink" Target="http://openaccess.thecvf.com/content_iccv_2017/html/Busta_Deep_TextSpotter_An_ICCV_2017_paper.html" TargetMode="External"/><Relationship Id="rId571" Type="http://schemas.openxmlformats.org/officeDocument/2006/relationships/hyperlink" Target="https://www.kdd.org/kdd2018/accepted-papers/view/scalable-spectral-clustering-using-random-binning-features" TargetMode="External"/><Relationship Id="rId627" Type="http://schemas.openxmlformats.org/officeDocument/2006/relationships/hyperlink" Target="http://aclweb.org/anthology/D18-1501" TargetMode="External"/><Relationship Id="rId19" Type="http://schemas.openxmlformats.org/officeDocument/2006/relationships/hyperlink" Target="https://www.kdd.org/kdd2018/accepted-papers/view/hetero-convlstm-a-deep-learning-approach-to-traffic-accident-prediction-on-" TargetMode="External"/><Relationship Id="rId224" Type="http://schemas.openxmlformats.org/officeDocument/2006/relationships/hyperlink" Target="http://openaccess.thecvf.com/content_cvpr_2018/html/Li_Low-Latency_Video_Semantic_CVPR_2018_paper.html" TargetMode="External"/><Relationship Id="rId266" Type="http://schemas.openxmlformats.org/officeDocument/2006/relationships/hyperlink" Target="http://openaccess.thecvf.com/content_ECCV_2018/html/Pradeep_Kumar_Jayaraman_Quadtree_Convolutional_Neural_ECCV_2018_paper.html" TargetMode="External"/><Relationship Id="rId431" Type="http://schemas.openxmlformats.org/officeDocument/2006/relationships/hyperlink" Target="https://www.kdd.org/kdd2018/accepted-papers/view/optimal-distributed-submodular-optimization-via-sketching" TargetMode="External"/><Relationship Id="rId473" Type="http://schemas.openxmlformats.org/officeDocument/2006/relationships/hyperlink" Target="https://aaai.org/ocs/index.php/AAAI/AAAI18/paper/view/16523" TargetMode="External"/><Relationship Id="rId529" Type="http://schemas.openxmlformats.org/officeDocument/2006/relationships/hyperlink" Target="http://aclweb.org/anthology/N18-1027" TargetMode="External"/><Relationship Id="rId30" Type="http://schemas.openxmlformats.org/officeDocument/2006/relationships/hyperlink" Target="http://openaccess.thecvf.com/content_ECCV_2018/html/Chi_Li_A_Unified_Framework_ECCV_2018_paper.html" TargetMode="External"/><Relationship Id="rId126" Type="http://schemas.openxmlformats.org/officeDocument/2006/relationships/hyperlink" Target="https://arxiv.org/abs/1811.11818" TargetMode="External"/><Relationship Id="rId168" Type="http://schemas.openxmlformats.org/officeDocument/2006/relationships/hyperlink" Target="http://openaccess.thecvf.com/content_cvpr_2018/html/Madsen_Probabilistic_Joint_Face-Skull_CVPR_2018_paper.html" TargetMode="External"/><Relationship Id="rId333" Type="http://schemas.openxmlformats.org/officeDocument/2006/relationships/hyperlink" Target="https://arxiv.org/abs/1811.10520" TargetMode="External"/><Relationship Id="rId540" Type="http://schemas.openxmlformats.org/officeDocument/2006/relationships/hyperlink" Target="https://aaai.org/ocs/index.php/AAAI/AAAI18/paper/view/16074" TargetMode="External"/><Relationship Id="rId72" Type="http://schemas.openxmlformats.org/officeDocument/2006/relationships/hyperlink" Target="http://mucmd.org/CameraReadySubmissions/34%5CCameraReadySubmission%5Ccontinuous-state-space%20_FINAL.pdf" TargetMode="External"/><Relationship Id="rId375" Type="http://schemas.openxmlformats.org/officeDocument/2006/relationships/hyperlink" Target="http://aclweb.org/anthology/N18-1006" TargetMode="External"/><Relationship Id="rId582" Type="http://schemas.openxmlformats.org/officeDocument/2006/relationships/hyperlink" Target="https://www.kdd.org/kdd2018/accepted-papers/view/training-big-random-forests-with-little-resources" TargetMode="External"/><Relationship Id="rId638" Type="http://schemas.openxmlformats.org/officeDocument/2006/relationships/comments" Target="../comments2.xml"/><Relationship Id="rId3" Type="http://schemas.openxmlformats.org/officeDocument/2006/relationships/hyperlink" Target="http://openaccess.thecvf.com/content_cvpr_2018/html/Agudo_Image_Collection_Pop-Up_CVPR_2018_paper.html" TargetMode="External"/><Relationship Id="rId235" Type="http://schemas.openxmlformats.org/officeDocument/2006/relationships/hyperlink" Target="http://openaccess.thecvf.com/content_cvpr_2018/html/Liu_Learning_Deep_Models_CVPR_2018_paper.html" TargetMode="External"/><Relationship Id="rId277" Type="http://schemas.openxmlformats.org/officeDocument/2006/relationships/hyperlink" Target="http://openaccess.thecvf.com/content_iccv_2017/html/Behl_Bounding_Boxes_Segmentations_ICCV_2017_paper.html" TargetMode="External"/><Relationship Id="rId400" Type="http://schemas.openxmlformats.org/officeDocument/2006/relationships/hyperlink" Target="https://papers.nips.cc/paper/8201-using-large-ensembles-of-control-variates-for-variational-inference.pdf" TargetMode="External"/><Relationship Id="rId442" Type="http://schemas.openxmlformats.org/officeDocument/2006/relationships/hyperlink" Target="http://aclweb.org/anthology/D18-1475" TargetMode="External"/><Relationship Id="rId484" Type="http://schemas.openxmlformats.org/officeDocument/2006/relationships/hyperlink" Target="http://proceedings.mlr.press/v80/fruit18a.html" TargetMode="External"/><Relationship Id="rId137" Type="http://schemas.openxmlformats.org/officeDocument/2006/relationships/hyperlink" Target="https://arxiv.org/pdf/1811.08579.pdf" TargetMode="External"/><Relationship Id="rId302" Type="http://schemas.openxmlformats.org/officeDocument/2006/relationships/hyperlink" Target="http://openaccess.thecvf.com/content_iccv_2017/html/Gallardo_Dense_Non-Rigid_Structure-From-Motion_ICCV_2017_paper.html" TargetMode="External"/><Relationship Id="rId344" Type="http://schemas.openxmlformats.org/officeDocument/2006/relationships/hyperlink" Target="https://arxiv.org/abs/1811.10376" TargetMode="External"/><Relationship Id="rId41" Type="http://schemas.openxmlformats.org/officeDocument/2006/relationships/hyperlink" Target="http://proceedings.mlr.press/v85/durand18a/durand18a.pdf" TargetMode="External"/><Relationship Id="rId83" Type="http://schemas.openxmlformats.org/officeDocument/2006/relationships/hyperlink" Target="http://mucmd.org/CameraReadySubmissions/60%5CCameraReadySubmission%5Ccamera-ready_DRL_concept-extract_v2.pdf" TargetMode="External"/><Relationship Id="rId179" Type="http://schemas.openxmlformats.org/officeDocument/2006/relationships/hyperlink" Target="http://openaccess.thecvf.com/content_cvpr_2018/html/Liu_SSNet_Scale_Selection_CVPR_2018_paper.html" TargetMode="External"/><Relationship Id="rId386" Type="http://schemas.openxmlformats.org/officeDocument/2006/relationships/hyperlink" Target="http://aclweb.org/anthology/D18-1250" TargetMode="External"/><Relationship Id="rId551" Type="http://schemas.openxmlformats.org/officeDocument/2006/relationships/hyperlink" Target="https://acl2018.org/paper/961" TargetMode="External"/><Relationship Id="rId593" Type="http://schemas.openxmlformats.org/officeDocument/2006/relationships/hyperlink" Target="https://www.kdd.org/kdd2018/accepted-papers/view/exploring-student-check-in-behavior-for-improved-point-of-interest-predicti" TargetMode="External"/><Relationship Id="rId607" Type="http://schemas.openxmlformats.org/officeDocument/2006/relationships/hyperlink" Target="https://aclanthology.info/papers/N18-1030/n18-1030" TargetMode="External"/><Relationship Id="rId190" Type="http://schemas.openxmlformats.org/officeDocument/2006/relationships/hyperlink" Target="http://openaccess.thecvf.com/content_ECCV_2018/html/Xiaolin_Zhang_Self-produced_Guidance_for_ECCV_2018_paper.html" TargetMode="External"/><Relationship Id="rId204" Type="http://schemas.openxmlformats.org/officeDocument/2006/relationships/hyperlink" Target="http://openaccess.thecvf.com/content_ECCV_2018/html/Yaojie_Liu_Face_De-spoofing_ECCV_2018_paper.html" TargetMode="External"/><Relationship Id="rId246" Type="http://schemas.openxmlformats.org/officeDocument/2006/relationships/hyperlink" Target="http://openaccess.thecvf.com/content_cvpr_2018/html/Chen_Deep_Hashing_via_CVPR_2018_paper.html" TargetMode="External"/><Relationship Id="rId288" Type="http://schemas.openxmlformats.org/officeDocument/2006/relationships/hyperlink" Target="http://openaccess.thecvf.com/content_ICCV_2017/papers/Cherian_Learning_Discriminative_ab-Divergences_ICCV_2017_paper.pdf" TargetMode="External"/><Relationship Id="rId411" Type="http://schemas.openxmlformats.org/officeDocument/2006/relationships/hyperlink" Target="https://openreview.net/forum?id=B1DmUzWAW" TargetMode="External"/><Relationship Id="rId453" Type="http://schemas.openxmlformats.org/officeDocument/2006/relationships/hyperlink" Target="http://aclweb.org/anthology/P18-1144" TargetMode="External"/><Relationship Id="rId509" Type="http://schemas.openxmlformats.org/officeDocument/2006/relationships/hyperlink" Target="https://openreview.net/forum?id=HyyP33gAZ" TargetMode="External"/><Relationship Id="rId106" Type="http://schemas.openxmlformats.org/officeDocument/2006/relationships/hyperlink" Target="https://arxiv.org/pdf/1806.11189.pdf" TargetMode="External"/><Relationship Id="rId313" Type="http://schemas.openxmlformats.org/officeDocument/2006/relationships/hyperlink" Target="https://arxiv.org/abs/1812.00884" TargetMode="External"/><Relationship Id="rId495" Type="http://schemas.openxmlformats.org/officeDocument/2006/relationships/hyperlink" Target="http://aclweb.org/anthology/D18-1163" TargetMode="External"/><Relationship Id="rId10" Type="http://schemas.openxmlformats.org/officeDocument/2006/relationships/hyperlink" Target="https://acl2018.org/paper/1683" TargetMode="External"/><Relationship Id="rId52" Type="http://schemas.openxmlformats.org/officeDocument/2006/relationships/hyperlink" Target="https://arxiv.org/pdf/1712.08243.pdf" TargetMode="External"/><Relationship Id="rId94" Type="http://schemas.openxmlformats.org/officeDocument/2006/relationships/hyperlink" Target="http://arxiv.org/pdf/1807.03159.pdf" TargetMode="External"/><Relationship Id="rId148" Type="http://schemas.openxmlformats.org/officeDocument/2006/relationships/hyperlink" Target="https://arxiv.org/abs/1812.00415" TargetMode="External"/><Relationship Id="rId355" Type="http://schemas.openxmlformats.org/officeDocument/2006/relationships/hyperlink" Target="http://aclweb.org/anthology/N18-1005" TargetMode="External"/><Relationship Id="rId397" Type="http://schemas.openxmlformats.org/officeDocument/2006/relationships/hyperlink" Target="http://aclweb.org/anthology/P18-1013" TargetMode="External"/><Relationship Id="rId520" Type="http://schemas.openxmlformats.org/officeDocument/2006/relationships/hyperlink" Target="https://papers.nips.cc/paper/7818-adversarially-robust-optimization-with-gaussian-processes.pdf" TargetMode="External"/><Relationship Id="rId562" Type="http://schemas.openxmlformats.org/officeDocument/2006/relationships/hyperlink" Target="http://aclweb.org/anthology/N18-1026" TargetMode="External"/><Relationship Id="rId618" Type="http://schemas.openxmlformats.org/officeDocument/2006/relationships/hyperlink" Target="https://aclanthology.info/papers/D18-1384/d18-1384" TargetMode="External"/><Relationship Id="rId215" Type="http://schemas.openxmlformats.org/officeDocument/2006/relationships/hyperlink" Target="http://openaccess.thecvf.com/content_iccv_2017/html/Bouman_Turning_Corners_Into_ICCV_2017_paper.html" TargetMode="External"/><Relationship Id="rId257" Type="http://schemas.openxmlformats.org/officeDocument/2006/relationships/hyperlink" Target="http://openaccess.thecvf.com/content_ECCV_2018/html/Oliver_Zendel_WildDash_-_Creating_ECCV_2018_paper.html" TargetMode="External"/><Relationship Id="rId422" Type="http://schemas.openxmlformats.org/officeDocument/2006/relationships/hyperlink" Target="http://aclweb.org/anthology/P18-1096" TargetMode="External"/><Relationship Id="rId464" Type="http://schemas.openxmlformats.org/officeDocument/2006/relationships/hyperlink" Target="http://proceedings.mlr.press/v80/brukhim18a.html" TargetMode="External"/><Relationship Id="rId299" Type="http://schemas.openxmlformats.org/officeDocument/2006/relationships/hyperlink" Target="http://openaccess.thecvf.com/content_iccv_2017/html/Noroozi_Representation_Learning_by_ICCV_2017_paper.html" TargetMode="External"/><Relationship Id="rId63" Type="http://schemas.openxmlformats.org/officeDocument/2006/relationships/hyperlink" Target="http://mucmd.org/CameraReadySubmissions/4%5CCameraReadySubmission%5CP_Farnoosh_Sparse_MLHC_2017.pdf" TargetMode="External"/><Relationship Id="rId159" Type="http://schemas.openxmlformats.org/officeDocument/2006/relationships/hyperlink" Target="https://arxiv.org/abs/1811.11996" TargetMode="External"/><Relationship Id="rId366" Type="http://schemas.openxmlformats.org/officeDocument/2006/relationships/hyperlink" Target="http://aclweb.org/anthology/D18-1133" TargetMode="External"/><Relationship Id="rId573" Type="http://schemas.openxmlformats.org/officeDocument/2006/relationships/hyperlink" Target="https://www.kdd.org/kdd2018/accepted-papers/view/scalable-spectral-clustering-using-random-binning-features" TargetMode="External"/><Relationship Id="rId226" Type="http://schemas.openxmlformats.org/officeDocument/2006/relationships/hyperlink" Target="http://openaccess.thecvf.com/content_cvpr_2018/html/Yu_An_Efficient_and_CVPR_2018_paper.html" TargetMode="External"/><Relationship Id="rId433" Type="http://schemas.openxmlformats.org/officeDocument/2006/relationships/hyperlink" Target="https://www.kdd.org/kdd2018/accepted-papers/view/optimal-distributed-submodular-optimization-via-sketching" TargetMode="External"/><Relationship Id="rId74" Type="http://schemas.openxmlformats.org/officeDocument/2006/relationships/hyperlink" Target="http://mucmd.org/CameraReadySubmissions/40%5CCameraReadySubmission%5Cpatient_similarity.pdf" TargetMode="External"/><Relationship Id="rId377" Type="http://schemas.openxmlformats.org/officeDocument/2006/relationships/hyperlink" Target="http://aclweb.org/anthology/N18-1008" TargetMode="External"/><Relationship Id="rId500" Type="http://schemas.openxmlformats.org/officeDocument/2006/relationships/hyperlink" Target="http://openaccess.thecvf.com/content_iccv_2017/html/Maksai_Non-Markovian_Globally_Consistent_ICCV_2017_paper.html" TargetMode="External"/><Relationship Id="rId584" Type="http://schemas.openxmlformats.org/officeDocument/2006/relationships/hyperlink" Target="https://www.kdd.org/kdd2018/accepted-papers/view/scalable-active-learning-by-approximated-error-reduction" TargetMode="External"/><Relationship Id="rId5" Type="http://schemas.openxmlformats.org/officeDocument/2006/relationships/hyperlink" Target="http://openaccess.thecvf.com/content_cvpr_2018/html/Agudo_Image_Collection_Pop-Up_CVPR_2018_paper.html" TargetMode="External"/><Relationship Id="rId237" Type="http://schemas.openxmlformats.org/officeDocument/2006/relationships/hyperlink" Target="http://openaccess.thecvf.com/content_cvpr_2018/html/Zanfir_Human_Appearance_Transfer_CVPR_2018_paper.html" TargetMode="External"/><Relationship Id="rId444" Type="http://schemas.openxmlformats.org/officeDocument/2006/relationships/hyperlink" Target="https://openreview.net/forum?id=BJQRKzbA-" TargetMode="External"/><Relationship Id="rId290" Type="http://schemas.openxmlformats.org/officeDocument/2006/relationships/hyperlink" Target="http://openaccess.thecvf.com/content_iccv_2017/html/Tatarchenko_Octree_Generating_Networks_ICCV_2017_paper.html" TargetMode="External"/><Relationship Id="rId304" Type="http://schemas.openxmlformats.org/officeDocument/2006/relationships/hyperlink" Target="http://openaccess.thecvf.com/content_iccv_2017/html/Gallardo_Dense_Non-Rigid_Structure-From-Motion_ICCV_2017_paper.html" TargetMode="External"/><Relationship Id="rId388" Type="http://schemas.openxmlformats.org/officeDocument/2006/relationships/hyperlink" Target="http://aclweb.org/anthology/P18-2087" TargetMode="External"/><Relationship Id="rId511" Type="http://schemas.openxmlformats.org/officeDocument/2006/relationships/hyperlink" Target="https://openreview.net/forum?id=SJiHXGWAZ" TargetMode="External"/><Relationship Id="rId609" Type="http://schemas.openxmlformats.org/officeDocument/2006/relationships/hyperlink" Target="http://aclweb.org/anthology/N18-1030" TargetMode="External"/><Relationship Id="rId85" Type="http://schemas.openxmlformats.org/officeDocument/2006/relationships/hyperlink" Target="http://mucmd.org/CameraReadySubmissions/62%5CCameraReadySubmission%5Cmedgan-mlhc-2017.pdf" TargetMode="External"/><Relationship Id="rId150" Type="http://schemas.openxmlformats.org/officeDocument/2006/relationships/hyperlink" Target="https://arxiv.org/abs/1812.00415" TargetMode="External"/><Relationship Id="rId595" Type="http://schemas.openxmlformats.org/officeDocument/2006/relationships/hyperlink" Target="https://openreview.net/forum?id=BJuWrGW0Z" TargetMode="External"/><Relationship Id="rId248" Type="http://schemas.openxmlformats.org/officeDocument/2006/relationships/hyperlink" Target="http://openaccess.thecvf.com/content_ECCV_2018/html/Guandao_Yang_A_Unified_Framework_ECCV_2018_paper.html" TargetMode="External"/><Relationship Id="rId455" Type="http://schemas.openxmlformats.org/officeDocument/2006/relationships/hyperlink" Target="http://aclweb.org/anthology/N18-1018" TargetMode="External"/><Relationship Id="rId12" Type="http://schemas.openxmlformats.org/officeDocument/2006/relationships/hyperlink" Target="https://aclanthology.info/papers/N18-1001/n18-1001" TargetMode="External"/><Relationship Id="rId108" Type="http://schemas.openxmlformats.org/officeDocument/2006/relationships/hyperlink" Target="https://arxiv.org/pdf/1806.11345.pdf" TargetMode="External"/><Relationship Id="rId315" Type="http://schemas.openxmlformats.org/officeDocument/2006/relationships/hyperlink" Target="https://ml4health.github.io/2018/pages/papers.html" TargetMode="External"/><Relationship Id="rId522" Type="http://schemas.openxmlformats.org/officeDocument/2006/relationships/hyperlink" Target="https://papers.nips.cc/paper/8061-deep-network-for-the-integrated-3d-sensing-of-multiple-people-in-natural-images.pdf" TargetMode="External"/><Relationship Id="rId96" Type="http://schemas.openxmlformats.org/officeDocument/2006/relationships/hyperlink" Target="https://arxiv.org/pdf/1806.09542.pdf" TargetMode="External"/><Relationship Id="rId161" Type="http://schemas.openxmlformats.org/officeDocument/2006/relationships/hyperlink" Target="https://arxiv.org/abs/1801.08640" TargetMode="External"/><Relationship Id="rId399" Type="http://schemas.openxmlformats.org/officeDocument/2006/relationships/hyperlink" Target="http://aclweb.org/anthology/N18-1012" TargetMode="External"/><Relationship Id="rId259" Type="http://schemas.openxmlformats.org/officeDocument/2006/relationships/hyperlink" Target="http://openaccess.thecvf.com/content_ECCV_2018/html/Jue_Wang_Learning_Discriminative_Video_ECCV_2018_paper.html" TargetMode="External"/><Relationship Id="rId466" Type="http://schemas.openxmlformats.org/officeDocument/2006/relationships/hyperlink" Target="http://proceedings.mlr.press/v80/poon18a.html" TargetMode="External"/><Relationship Id="rId23" Type="http://schemas.openxmlformats.org/officeDocument/2006/relationships/hyperlink" Target="https://www.kdd.org/kdd2018/accepted-papers/view/hetero-convlstm-a-deep-learning-approach-to-traffic-accident-prediction-on-" TargetMode="External"/><Relationship Id="rId119" Type="http://schemas.openxmlformats.org/officeDocument/2006/relationships/hyperlink" Target="https://report.nrls.nhs.uk/nrlsreporting/" TargetMode="External"/><Relationship Id="rId326" Type="http://schemas.openxmlformats.org/officeDocument/2006/relationships/hyperlink" Target="https://arxiv.org/abs/1812.00209" TargetMode="External"/><Relationship Id="rId533" Type="http://schemas.openxmlformats.org/officeDocument/2006/relationships/hyperlink" Target="http://proceedings.mlr.press/v80/oliva18a.html" TargetMode="External"/><Relationship Id="rId172" Type="http://schemas.openxmlformats.org/officeDocument/2006/relationships/hyperlink" Target="http://openaccess.thecvf.com/content_cvpr_2018/html/Kalayeh_Human_Semantic_Parsing_CVPR_2018_paper.html" TargetMode="External"/><Relationship Id="rId477" Type="http://schemas.openxmlformats.org/officeDocument/2006/relationships/hyperlink" Target="https://www.kdd.org/kdd2018/accepted-papers/view/resolving-abstract-anaphora-in-conversational-assistants-using-a-hierarchic" TargetMode="External"/><Relationship Id="rId600" Type="http://schemas.openxmlformats.org/officeDocument/2006/relationships/hyperlink" Target="http://aclweb.org/anthology/N18-1028" TargetMode="External"/><Relationship Id="rId337" Type="http://schemas.openxmlformats.org/officeDocument/2006/relationships/hyperlink" Target="https://arxiv.org/abs/1811.12254" TargetMode="External"/><Relationship Id="rId34" Type="http://schemas.openxmlformats.org/officeDocument/2006/relationships/hyperlink" Target="http://openaccess.thecvf.com/content_iccv_2017/html/Panda_Weakly_Supervised_Summarization_ICCV_2017_paper.html" TargetMode="External"/><Relationship Id="rId544" Type="http://schemas.openxmlformats.org/officeDocument/2006/relationships/hyperlink" Target="https://acl2018.org/paper/1038" TargetMode="External"/><Relationship Id="rId183" Type="http://schemas.openxmlformats.org/officeDocument/2006/relationships/hyperlink" Target="http://openaccess.thecvf.com/content_cvpr_2018/html/Kozerawski_CLEAR_Cumulative_LEARning_CVPR_2018_paper.html" TargetMode="External"/><Relationship Id="rId390" Type="http://schemas.openxmlformats.org/officeDocument/2006/relationships/hyperlink" Target="http://aclweb.org/anthology/N18-1009" TargetMode="External"/><Relationship Id="rId404" Type="http://schemas.openxmlformats.org/officeDocument/2006/relationships/hyperlink" Target="https://papers.nips.cc/paper/7611-scaling-the-poisson-glm-to-massive-neural-datasets-through-polynomial-approximations.pdf" TargetMode="External"/><Relationship Id="rId611" Type="http://schemas.openxmlformats.org/officeDocument/2006/relationships/hyperlink" Target="http://aclweb.org/anthology/D18-1019" TargetMode="External"/><Relationship Id="rId250" Type="http://schemas.openxmlformats.org/officeDocument/2006/relationships/hyperlink" Target="http://openaccess.thecvf.com/content_ECCV_2018/html/Yao_Feng_Joint_3D_Face_ECCV_2018_paper.html" TargetMode="External"/><Relationship Id="rId488" Type="http://schemas.openxmlformats.org/officeDocument/2006/relationships/hyperlink" Target="https://papers.nips.cc/paper/7879-l4-practical-loss-based-stepsize-adaptation-for-deep-learning.pdf" TargetMode="External"/><Relationship Id="rId45" Type="http://schemas.openxmlformats.org/officeDocument/2006/relationships/hyperlink" Target="https://www.mlforhc.org/s/12.pdf" TargetMode="External"/><Relationship Id="rId110" Type="http://schemas.openxmlformats.org/officeDocument/2006/relationships/hyperlink" Target="https://arxiv.org/pdf/1807.01514.pdf" TargetMode="External"/><Relationship Id="rId348" Type="http://schemas.openxmlformats.org/officeDocument/2006/relationships/hyperlink" Target="https://arxiv.org/abs/1901.06618" TargetMode="External"/><Relationship Id="rId555" Type="http://schemas.openxmlformats.org/officeDocument/2006/relationships/hyperlink" Target="https://acl2018.org/paper/1296" TargetMode="External"/><Relationship Id="rId194" Type="http://schemas.openxmlformats.org/officeDocument/2006/relationships/hyperlink" Target="http://openaccess.thecvf.com/content_ECCV_2018/html/Jiren_Zhu_HiDDeN_Hiding_Data_ECCV_2018_paper.html" TargetMode="External"/><Relationship Id="rId208" Type="http://schemas.openxmlformats.org/officeDocument/2006/relationships/hyperlink" Target="http://openaccess.thecvf.com/content_ECCV_2018/html/Zheng_Dang_Eigendecomposition-free_Training_of_ECCV_2018_paper.html" TargetMode="External"/><Relationship Id="rId415" Type="http://schemas.openxmlformats.org/officeDocument/2006/relationships/hyperlink" Target="http://aclweb.org/anthology/N18-1013" TargetMode="External"/><Relationship Id="rId622" Type="http://schemas.openxmlformats.org/officeDocument/2006/relationships/hyperlink" Target="http://aclweb.org/anthology/D18-1302" TargetMode="External"/><Relationship Id="rId261" Type="http://schemas.openxmlformats.org/officeDocument/2006/relationships/hyperlink" Target="http://openaccess.thecvf.com/content_ECCV_2018/html/Chunrui_Han_Face_Recognition_with_ECCV_2018_paper.html" TargetMode="External"/><Relationship Id="rId499" Type="http://schemas.openxmlformats.org/officeDocument/2006/relationships/hyperlink" Target="http://openaccess.thecvf.com/content_iccv_2017/html/Maksai_Non-Markovian_Globally_Consistent_ICCV_2017_paper.html" TargetMode="External"/><Relationship Id="rId56" Type="http://schemas.openxmlformats.org/officeDocument/2006/relationships/hyperlink" Target="https://www.mlforhc.org/s/23.pdf" TargetMode="External"/><Relationship Id="rId359" Type="http://schemas.openxmlformats.org/officeDocument/2006/relationships/hyperlink" Target="https://acl2018.org/paper/1606" TargetMode="External"/><Relationship Id="rId566" Type="http://schemas.openxmlformats.org/officeDocument/2006/relationships/hyperlink" Target="http://aclweb.org/anthology/N18-1025" TargetMode="External"/><Relationship Id="rId121" Type="http://schemas.openxmlformats.org/officeDocument/2006/relationships/hyperlink" Target="http://dcapswoz.ict.usc.edu/" TargetMode="External"/><Relationship Id="rId219" Type="http://schemas.openxmlformats.org/officeDocument/2006/relationships/hyperlink" Target="http://openaccess.thecvf.com/content_iccv_2017/html/Gadde_Semantic_Video_CNNs_ICCV_2017_paper.html" TargetMode="External"/><Relationship Id="rId426" Type="http://schemas.openxmlformats.org/officeDocument/2006/relationships/hyperlink" Target="https://www.kdd.org/kdd2018/accepted-papers/view/optimal-distributed-submodular-optimization-via-sketching" TargetMode="External"/><Relationship Id="rId633" Type="http://schemas.openxmlformats.org/officeDocument/2006/relationships/hyperlink" Target="http://aclweb.org/anthology/D18-1063" TargetMode="External"/><Relationship Id="rId67" Type="http://schemas.openxmlformats.org/officeDocument/2006/relationships/hyperlink" Target="http://mucmd.org/CameraReadySubmissions/23%5CCameraReadySubmission%5C0023.pdf" TargetMode="External"/><Relationship Id="rId272" Type="http://schemas.openxmlformats.org/officeDocument/2006/relationships/hyperlink" Target="http://openaccess.thecvf.com/content_ECCV_2018/html/Pau_Rodriguez_Lopez_Attend_and_Rectify_ECCV_2018_paper.html" TargetMode="External"/><Relationship Id="rId577" Type="http://schemas.openxmlformats.org/officeDocument/2006/relationships/hyperlink" Target="https://www.kdd.org/kdd2018/accepted-papers/view/scalable-spectral-clustering-using-random-binning-features" TargetMode="External"/><Relationship Id="rId132" Type="http://schemas.openxmlformats.org/officeDocument/2006/relationships/hyperlink" Target="https://portal.gdc.cancer.gov/projects/TARGET-NBL" TargetMode="External"/><Relationship Id="rId437" Type="http://schemas.openxmlformats.org/officeDocument/2006/relationships/hyperlink" Target="http://aclweb.org/anthology/N18-1015" TargetMode="External"/><Relationship Id="rId283" Type="http://schemas.openxmlformats.org/officeDocument/2006/relationships/hyperlink" Target="http://openaccess.thecvf.com/content_ICCV_2017/papers/Cherian_Learning_Discriminative_ab-Divergences_ICCV_2017_paper.pdf" TargetMode="External"/><Relationship Id="rId490" Type="http://schemas.openxmlformats.org/officeDocument/2006/relationships/hyperlink" Target="https://papers.nips.cc/paper/7879-l4-practical-loss-based-stepsize-adaptation-for-deep-learning.pdf" TargetMode="External"/><Relationship Id="rId504" Type="http://schemas.openxmlformats.org/officeDocument/2006/relationships/hyperlink" Target="https://openreview.net/forum?id=Bys4ob-Rb" TargetMode="External"/><Relationship Id="rId78" Type="http://schemas.openxmlformats.org/officeDocument/2006/relationships/hyperlink" Target="http://mucmd.org/CameraReadySubmissions/52%5CCameraReadySubmission%5CMLHC_2017_FINAL_cameraready.pdf" TargetMode="External"/><Relationship Id="rId143" Type="http://schemas.openxmlformats.org/officeDocument/2006/relationships/hyperlink" Target="https://arxiv.org/pdf/1812.06932.pdf" TargetMode="External"/><Relationship Id="rId350" Type="http://schemas.openxmlformats.org/officeDocument/2006/relationships/hyperlink" Target="https://arxiv.org/abs/1811.08040" TargetMode="External"/><Relationship Id="rId588" Type="http://schemas.openxmlformats.org/officeDocument/2006/relationships/hyperlink" Target="https://www.kdd.org/kdd2018/accepted-papers/view/scalable-active-learning-by-approximated-error-reduction" TargetMode="External"/><Relationship Id="rId9" Type="http://schemas.openxmlformats.org/officeDocument/2006/relationships/hyperlink" Target="https://aclanthology.info/papers/D18-1477/d18-1477" TargetMode="External"/><Relationship Id="rId210" Type="http://schemas.openxmlformats.org/officeDocument/2006/relationships/hyperlink" Target="http://openaccess.thecvf.com/content_ECCV_2018/html/Chenglong_Li_Cross-Modal_Ranking_with_ECCV_2018_paper.html" TargetMode="External"/><Relationship Id="rId448" Type="http://schemas.openxmlformats.org/officeDocument/2006/relationships/hyperlink" Target="https://aaai.org/ocs/index.php/AAAI/AAAI18/paper/view/1658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aclweb.org/anthology/N18-1014" TargetMode="External"/><Relationship Id="rId21" Type="http://schemas.openxmlformats.org/officeDocument/2006/relationships/hyperlink" Target="http://mucmd.org/CameraReadySubmissions/13%5CCameraReadySubmission%5CSubmission%2013%20-%20Forte%20et%20al..pdf" TargetMode="External"/><Relationship Id="rId42" Type="http://schemas.openxmlformats.org/officeDocument/2006/relationships/hyperlink" Target="http://mucmd.org/CameraReadySubmissions/77_reproducibility-critical-care.pdf" TargetMode="External"/><Relationship Id="rId63" Type="http://schemas.openxmlformats.org/officeDocument/2006/relationships/hyperlink" Target="https://arxiv.org/pdf/1807.02599.pdf" TargetMode="External"/><Relationship Id="rId84" Type="http://schemas.openxmlformats.org/officeDocument/2006/relationships/hyperlink" Target="https://arxiv.org/abs/1811.08615" TargetMode="External"/><Relationship Id="rId138" Type="http://schemas.openxmlformats.org/officeDocument/2006/relationships/hyperlink" Target="http://aclweb.org/anthology/N18-1024" TargetMode="External"/><Relationship Id="rId107" Type="http://schemas.openxmlformats.org/officeDocument/2006/relationships/hyperlink" Target="http://aclweb.org/anthology/N18-1010" TargetMode="External"/><Relationship Id="rId11" Type="http://schemas.openxmlformats.org/officeDocument/2006/relationships/hyperlink" Target="https://www.mlforhc.org/s/19.pdf" TargetMode="External"/><Relationship Id="rId32" Type="http://schemas.openxmlformats.org/officeDocument/2006/relationships/hyperlink" Target="http://mucmd.org/CameraReadySubmissions/51%5CCameraReadySubmission%5Cjahja_lizotte_tolerance.pdf" TargetMode="External"/><Relationship Id="rId53" Type="http://schemas.openxmlformats.org/officeDocument/2006/relationships/hyperlink" Target="https://arxiv.org/pdf/1807.04077.pdf" TargetMode="External"/><Relationship Id="rId74" Type="http://schemas.openxmlformats.org/officeDocument/2006/relationships/hyperlink" Target="https://arxiv.org/abs/1811.10958" TargetMode="External"/><Relationship Id="rId128" Type="http://schemas.openxmlformats.org/officeDocument/2006/relationships/hyperlink" Target="http://aclweb.org/anthology/D18-1349" TargetMode="External"/><Relationship Id="rId149" Type="http://schemas.openxmlformats.org/officeDocument/2006/relationships/hyperlink" Target="http://aclweb.org/anthology/D18-1501" TargetMode="External"/><Relationship Id="rId5" Type="http://schemas.openxmlformats.org/officeDocument/2006/relationships/hyperlink" Target="https://www.mlforhc.org/s/8.pdf" TargetMode="External"/><Relationship Id="rId95" Type="http://schemas.openxmlformats.org/officeDocument/2006/relationships/hyperlink" Target="http://aclweb.org/anthology/D18-1090" TargetMode="External"/><Relationship Id="rId22" Type="http://schemas.openxmlformats.org/officeDocument/2006/relationships/hyperlink" Target="http://mucmd.org/CameraReadySubmissions/16_short_fuse_paper(1).pdf" TargetMode="External"/><Relationship Id="rId27" Type="http://schemas.openxmlformats.org/officeDocument/2006/relationships/hyperlink" Target="http://mucmd.org/CameraReadySubmissions/31%5CCameraReadySubmission%5Cclustering-patients-tensor-full.pdf" TargetMode="External"/><Relationship Id="rId43" Type="http://schemas.openxmlformats.org/officeDocument/2006/relationships/hyperlink" Target="https://arxiv.org/pdf/1807.02617.pdf" TargetMode="External"/><Relationship Id="rId48" Type="http://schemas.openxmlformats.org/officeDocument/2006/relationships/hyperlink" Target="http://arxiv.org/pdf/1807.01619.pdf" TargetMode="External"/><Relationship Id="rId64" Type="http://schemas.openxmlformats.org/officeDocument/2006/relationships/hyperlink" Target="https://arxiv.org/abs/1804.11046" TargetMode="External"/><Relationship Id="rId69" Type="http://schemas.openxmlformats.org/officeDocument/2006/relationships/hyperlink" Target="https://ml4health.github.io/2018/pages/papers.html" TargetMode="External"/><Relationship Id="rId113" Type="http://schemas.openxmlformats.org/officeDocument/2006/relationships/hyperlink" Target="http://aclweb.org/anthology/P18-1013" TargetMode="External"/><Relationship Id="rId118" Type="http://schemas.openxmlformats.org/officeDocument/2006/relationships/hyperlink" Target="http://aclweb.org/anthology/D18-1334" TargetMode="External"/><Relationship Id="rId134" Type="http://schemas.openxmlformats.org/officeDocument/2006/relationships/hyperlink" Target="http://aclweb.org/anthology/N18-1019" TargetMode="External"/><Relationship Id="rId139" Type="http://schemas.openxmlformats.org/officeDocument/2006/relationships/hyperlink" Target="http://aclweb.org/anthology/N18-1026" TargetMode="External"/><Relationship Id="rId80" Type="http://schemas.openxmlformats.org/officeDocument/2006/relationships/hyperlink" Target="https://arxiv.org/abs/1812.00058" TargetMode="External"/><Relationship Id="rId85" Type="http://schemas.openxmlformats.org/officeDocument/2006/relationships/hyperlink" Target="http://aclweb.org/anthology/N18-1004" TargetMode="External"/><Relationship Id="rId150" Type="http://schemas.openxmlformats.org/officeDocument/2006/relationships/hyperlink" Target="http://aclweb.org/anthology/D18-1141" TargetMode="External"/><Relationship Id="rId12" Type="http://schemas.openxmlformats.org/officeDocument/2006/relationships/hyperlink" Target="https://www.mlforhc.org/s/22.pdf" TargetMode="External"/><Relationship Id="rId17" Type="http://schemas.openxmlformats.org/officeDocument/2006/relationships/hyperlink" Target="https://www.mlforhc.org/s/31.pdf" TargetMode="External"/><Relationship Id="rId33" Type="http://schemas.openxmlformats.org/officeDocument/2006/relationships/hyperlink" Target="http://mucmd.org/CameraReadySubmissions/52%5CCameraReadySubmission%5CMLHC_2017_FINAL_cameraready.pdf" TargetMode="External"/><Relationship Id="rId38" Type="http://schemas.openxmlformats.org/officeDocument/2006/relationships/hyperlink" Target="http://mucmd.org/CameraReadySubmissions/63%5CCameraReadySubmission%5Cmlhc_2017.pdf" TargetMode="External"/><Relationship Id="rId59" Type="http://schemas.openxmlformats.org/officeDocument/2006/relationships/hyperlink" Target="https://arxiv.org/pdf/1807.03095.pdf" TargetMode="External"/><Relationship Id="rId103" Type="http://schemas.openxmlformats.org/officeDocument/2006/relationships/hyperlink" Target="http://aclweb.org/anthology/P18-1157" TargetMode="External"/><Relationship Id="rId108" Type="http://schemas.openxmlformats.org/officeDocument/2006/relationships/hyperlink" Target="http://aclweb.org/anthology/N18-1011" TargetMode="External"/><Relationship Id="rId124" Type="http://schemas.openxmlformats.org/officeDocument/2006/relationships/hyperlink" Target="http://aclweb.org/anthology/N18-1015" TargetMode="External"/><Relationship Id="rId129" Type="http://schemas.openxmlformats.org/officeDocument/2006/relationships/hyperlink" Target="http://aclweb.org/anthology/D18-1475" TargetMode="External"/><Relationship Id="rId54" Type="http://schemas.openxmlformats.org/officeDocument/2006/relationships/hyperlink" Target="https://arxiv.org/pdf/1807.04667.pdf" TargetMode="External"/><Relationship Id="rId70" Type="http://schemas.openxmlformats.org/officeDocument/2006/relationships/hyperlink" Target="https://arxiv.org/abs/1811.08633" TargetMode="External"/><Relationship Id="rId75" Type="http://schemas.openxmlformats.org/officeDocument/2006/relationships/hyperlink" Target="https://arxiv.org/abs/1812.00209" TargetMode="External"/><Relationship Id="rId91" Type="http://schemas.openxmlformats.org/officeDocument/2006/relationships/hyperlink" Target="http://aclweb.org/anthology/N18-1006" TargetMode="External"/><Relationship Id="rId96" Type="http://schemas.openxmlformats.org/officeDocument/2006/relationships/hyperlink" Target="http://aclweb.org/anthology/D18-1528" TargetMode="External"/><Relationship Id="rId140" Type="http://schemas.openxmlformats.org/officeDocument/2006/relationships/hyperlink" Target="http://aclweb.org/anthology/N18-1025" TargetMode="External"/><Relationship Id="rId145" Type="http://schemas.openxmlformats.org/officeDocument/2006/relationships/hyperlink" Target="http://aclweb.org/anthology/D18-1068" TargetMode="External"/><Relationship Id="rId1" Type="http://schemas.openxmlformats.org/officeDocument/2006/relationships/hyperlink" Target="https://www.mlforhc.org/s/Tonekaboni_S" TargetMode="External"/><Relationship Id="rId6" Type="http://schemas.openxmlformats.org/officeDocument/2006/relationships/hyperlink" Target="https://www.mlforhc.org/s/9.pdf" TargetMode="External"/><Relationship Id="rId23" Type="http://schemas.openxmlformats.org/officeDocument/2006/relationships/hyperlink" Target="http://mucmd.org/CameraReadySubmissions/23%5CCameraReadySubmission%5C0023.pdf" TargetMode="External"/><Relationship Id="rId28" Type="http://schemas.openxmlformats.org/officeDocument/2006/relationships/hyperlink" Target="http://mucmd.org/CameraReadySubmissions/34%5CCameraReadySubmission%5Ccontinuous-state-space%20_FINAL.pdf" TargetMode="External"/><Relationship Id="rId49" Type="http://schemas.openxmlformats.org/officeDocument/2006/relationships/hyperlink" Target="https://arxiv.org/pdf/1807.02442.pdf" TargetMode="External"/><Relationship Id="rId114" Type="http://schemas.openxmlformats.org/officeDocument/2006/relationships/hyperlink" Target="http://aclweb.org/anthology/P18-4007" TargetMode="External"/><Relationship Id="rId119" Type="http://schemas.openxmlformats.org/officeDocument/2006/relationships/hyperlink" Target="http://aclweb.org/anthology/D18-1350" TargetMode="External"/><Relationship Id="rId44" Type="http://schemas.openxmlformats.org/officeDocument/2006/relationships/hyperlink" Target="https://arxiv.org/pdf/1807.03633.pdf" TargetMode="External"/><Relationship Id="rId60" Type="http://schemas.openxmlformats.org/officeDocument/2006/relationships/hyperlink" Target="https://arxiv.org/pdf/1807.02608.pdf" TargetMode="External"/><Relationship Id="rId65" Type="http://schemas.openxmlformats.org/officeDocument/2006/relationships/hyperlink" Target="https://arxiv.org/abs/1811.08803" TargetMode="External"/><Relationship Id="rId81" Type="http://schemas.openxmlformats.org/officeDocument/2006/relationships/hyperlink" Target="https://arxiv.org/abs/1812.00172" TargetMode="External"/><Relationship Id="rId86" Type="http://schemas.openxmlformats.org/officeDocument/2006/relationships/hyperlink" Target="http://aclweb.org/anthology/N18-1003" TargetMode="External"/><Relationship Id="rId130" Type="http://schemas.openxmlformats.org/officeDocument/2006/relationships/hyperlink" Target="http://aclweb.org/anthology/P18-2066" TargetMode="External"/><Relationship Id="rId135" Type="http://schemas.openxmlformats.org/officeDocument/2006/relationships/hyperlink" Target="http://aclweb.org/anthology/N18-1020" TargetMode="External"/><Relationship Id="rId151" Type="http://schemas.openxmlformats.org/officeDocument/2006/relationships/hyperlink" Target="http://aclweb.org/anthology/D18-1063" TargetMode="External"/><Relationship Id="rId13" Type="http://schemas.openxmlformats.org/officeDocument/2006/relationships/hyperlink" Target="https://www.mlforhc.org/s/23.pdf" TargetMode="External"/><Relationship Id="rId18" Type="http://schemas.openxmlformats.org/officeDocument/2006/relationships/hyperlink" Target="http://mucmd.org/CameraReadySubmissions/1%5CCameraReadySubmission%5Cpcpas.pdf" TargetMode="External"/><Relationship Id="rId39" Type="http://schemas.openxmlformats.org/officeDocument/2006/relationships/hyperlink" Target="http://mucmd.org/CameraReadySubmissions/65%5CCameraReadySubmission%5Cclinical-intervention-prediction%20(4).pdf" TargetMode="External"/><Relationship Id="rId109" Type="http://schemas.openxmlformats.org/officeDocument/2006/relationships/hyperlink" Target="http://aclweb.org/anthology/D18-2020" TargetMode="External"/><Relationship Id="rId34" Type="http://schemas.openxmlformats.org/officeDocument/2006/relationships/hyperlink" Target="http://mucmd.org/CameraReadySubmissions/53%5CCameraReadySubmission%5CCR.pdf" TargetMode="External"/><Relationship Id="rId50" Type="http://schemas.openxmlformats.org/officeDocument/2006/relationships/hyperlink" Target="https://arxiv.org/pdf/1807.00637.pdf" TargetMode="External"/><Relationship Id="rId55" Type="http://schemas.openxmlformats.org/officeDocument/2006/relationships/hyperlink" Target="https://arxiv.org/pdf/1806.11189.pdf" TargetMode="External"/><Relationship Id="rId76" Type="http://schemas.openxmlformats.org/officeDocument/2006/relationships/hyperlink" Target="https://arxiv.org/abs/1812.00418" TargetMode="External"/><Relationship Id="rId97" Type="http://schemas.openxmlformats.org/officeDocument/2006/relationships/hyperlink" Target="http://aclweb.org/anthology/P18-3018" TargetMode="External"/><Relationship Id="rId104" Type="http://schemas.openxmlformats.org/officeDocument/2006/relationships/hyperlink" Target="http://aclweb.org/anthology/P18-2087" TargetMode="External"/><Relationship Id="rId120" Type="http://schemas.openxmlformats.org/officeDocument/2006/relationships/hyperlink" Target="http://aclweb.org/anthology/D18-1008" TargetMode="External"/><Relationship Id="rId125" Type="http://schemas.openxmlformats.org/officeDocument/2006/relationships/hyperlink" Target="http://aclweb.org/anthology/N18-1016" TargetMode="External"/><Relationship Id="rId141" Type="http://schemas.openxmlformats.org/officeDocument/2006/relationships/hyperlink" Target="http://aclweb.org/anthology/N18-1028" TargetMode="External"/><Relationship Id="rId146" Type="http://schemas.openxmlformats.org/officeDocument/2006/relationships/hyperlink" Target="http://aclweb.org/anthology/D18-1384" TargetMode="External"/><Relationship Id="rId7" Type="http://schemas.openxmlformats.org/officeDocument/2006/relationships/hyperlink" Target="https://www.mlforhc.org/s/11.pdf" TargetMode="External"/><Relationship Id="rId71" Type="http://schemas.openxmlformats.org/officeDocument/2006/relationships/hyperlink" Target="https://arxiv.org/abs/1811.10501" TargetMode="External"/><Relationship Id="rId92" Type="http://schemas.openxmlformats.org/officeDocument/2006/relationships/hyperlink" Target="http://aclweb.org/anthology/N18-1007" TargetMode="External"/><Relationship Id="rId2" Type="http://schemas.openxmlformats.org/officeDocument/2006/relationships/hyperlink" Target="https://www.mlforhc.org/s/1.pdf" TargetMode="External"/><Relationship Id="rId29" Type="http://schemas.openxmlformats.org/officeDocument/2006/relationships/hyperlink" Target="http://mucmd.org/CameraReadySubmissions/37%5CCameraReadySubmission%5CPFS_TTRNN_AFT_CameraReady.pdf" TargetMode="External"/><Relationship Id="rId24" Type="http://schemas.openxmlformats.org/officeDocument/2006/relationships/hyperlink" Target="http://mucmd.org/CameraReadySubmissions/25%5CCameraReadySubmission%5Csample.pdf" TargetMode="External"/><Relationship Id="rId40" Type="http://schemas.openxmlformats.org/officeDocument/2006/relationships/hyperlink" Target="http://mucmd.org/CameraReadySubmissions/67%5CCameraReadySubmission%5Cunderstanding-coagulopathy-multi%20(6).pdf" TargetMode="External"/><Relationship Id="rId45" Type="http://schemas.openxmlformats.org/officeDocument/2006/relationships/hyperlink" Target="http://arxiv.org/pdf/1807.03159.pdf" TargetMode="External"/><Relationship Id="rId66" Type="http://schemas.openxmlformats.org/officeDocument/2006/relationships/hyperlink" Target="http://arxiv.org/abs/1812.01087" TargetMode="External"/><Relationship Id="rId87" Type="http://schemas.openxmlformats.org/officeDocument/2006/relationships/hyperlink" Target="http://aclweb.org/anthology/N18-1005" TargetMode="External"/><Relationship Id="rId110" Type="http://schemas.openxmlformats.org/officeDocument/2006/relationships/hyperlink" Target="http://aclweb.org/anthology/D18-1236" TargetMode="External"/><Relationship Id="rId115" Type="http://schemas.openxmlformats.org/officeDocument/2006/relationships/hyperlink" Target="http://aclweb.org/anthology/N18-1012" TargetMode="External"/><Relationship Id="rId131" Type="http://schemas.openxmlformats.org/officeDocument/2006/relationships/hyperlink" Target="http://aclweb.org/anthology/P18-1144" TargetMode="External"/><Relationship Id="rId136" Type="http://schemas.openxmlformats.org/officeDocument/2006/relationships/hyperlink" Target="http://aclweb.org/anthology/N18-1021" TargetMode="External"/><Relationship Id="rId61" Type="http://schemas.openxmlformats.org/officeDocument/2006/relationships/hyperlink" Target="https://arxiv.org/pdf/1807.08039.pdf" TargetMode="External"/><Relationship Id="rId82" Type="http://schemas.openxmlformats.org/officeDocument/2006/relationships/hyperlink" Target="https://arxiv.org/abs/1811.11920" TargetMode="External"/><Relationship Id="rId19" Type="http://schemas.openxmlformats.org/officeDocument/2006/relationships/hyperlink" Target="http://mucmd.org/CameraReadySubmissions/4%5CCameraReadySubmission%5CP_Farnoosh_Sparse_MLHC_2017.pdf" TargetMode="External"/><Relationship Id="rId14" Type="http://schemas.openxmlformats.org/officeDocument/2006/relationships/hyperlink" Target="https://www.mlforhc.org/s/25.pdf" TargetMode="External"/><Relationship Id="rId30" Type="http://schemas.openxmlformats.org/officeDocument/2006/relationships/hyperlink" Target="http://mucmd.org/CameraReadySubmissions/40%5CCameraReadySubmission%5Cpatient_similarity.pdf" TargetMode="External"/><Relationship Id="rId35" Type="http://schemas.openxmlformats.org/officeDocument/2006/relationships/hyperlink" Target="http://mucmd.org/CameraReadySubmissions/54%5CCameraReadySubmission%5Cmucmd_edited.pdf" TargetMode="External"/><Relationship Id="rId56" Type="http://schemas.openxmlformats.org/officeDocument/2006/relationships/hyperlink" Target="https://arxiv.org/pdf/1807.01000.pdf" TargetMode="External"/><Relationship Id="rId77" Type="http://schemas.openxmlformats.org/officeDocument/2006/relationships/hyperlink" Target="https://arxiv.org/abs/1811.12589" TargetMode="External"/><Relationship Id="rId100" Type="http://schemas.openxmlformats.org/officeDocument/2006/relationships/hyperlink" Target="http://aclweb.org/anthology/D18-1375" TargetMode="External"/><Relationship Id="rId105" Type="http://schemas.openxmlformats.org/officeDocument/2006/relationships/hyperlink" Target="http://aclweb.org/anthology/P18-1123" TargetMode="External"/><Relationship Id="rId126" Type="http://schemas.openxmlformats.org/officeDocument/2006/relationships/hyperlink" Target="http://aclweb.org/anthology/N18-1017" TargetMode="External"/><Relationship Id="rId147" Type="http://schemas.openxmlformats.org/officeDocument/2006/relationships/hyperlink" Target="http://aclweb.org/anthology/D18-1508" TargetMode="External"/><Relationship Id="rId8" Type="http://schemas.openxmlformats.org/officeDocument/2006/relationships/hyperlink" Target="https://www.mlforhc.org/s/12.pdf" TargetMode="External"/><Relationship Id="rId51" Type="http://schemas.openxmlformats.org/officeDocument/2006/relationships/hyperlink" Target="https://arxiv.org/pdf/1807.01705.pdf" TargetMode="External"/><Relationship Id="rId72" Type="http://schemas.openxmlformats.org/officeDocument/2006/relationships/hyperlink" Target="https://arxiv.org/abs/1811.12793" TargetMode="External"/><Relationship Id="rId93" Type="http://schemas.openxmlformats.org/officeDocument/2006/relationships/hyperlink" Target="http://aclweb.org/anthology/N18-1008" TargetMode="External"/><Relationship Id="rId98" Type="http://schemas.openxmlformats.org/officeDocument/2006/relationships/hyperlink" Target="http://aclweb.org/anthology/P18-3015" TargetMode="External"/><Relationship Id="rId121" Type="http://schemas.openxmlformats.org/officeDocument/2006/relationships/hyperlink" Target="http://aclweb.org/anthology/P18-2102" TargetMode="External"/><Relationship Id="rId142" Type="http://schemas.openxmlformats.org/officeDocument/2006/relationships/hyperlink" Target="http://aclweb.org/anthology/N18-1029" TargetMode="External"/><Relationship Id="rId3" Type="http://schemas.openxmlformats.org/officeDocument/2006/relationships/hyperlink" Target="https://www.mlforhc.org/s/2.pdf" TargetMode="External"/><Relationship Id="rId25" Type="http://schemas.openxmlformats.org/officeDocument/2006/relationships/hyperlink" Target="http://mucmd.org/CameraReadySubmissions/26%5CCameraReadySubmission%5Ccamera-ready-predicting(3).pdf" TargetMode="External"/><Relationship Id="rId46" Type="http://schemas.openxmlformats.org/officeDocument/2006/relationships/hyperlink" Target="https://arxiv.org/pdf/1808.02602.pdf" TargetMode="External"/><Relationship Id="rId67" Type="http://schemas.openxmlformats.org/officeDocument/2006/relationships/hyperlink" Target="https://arxiv.org/abs/1812.00884" TargetMode="External"/><Relationship Id="rId116" Type="http://schemas.openxmlformats.org/officeDocument/2006/relationships/hyperlink" Target="http://aclweb.org/anthology/N18-1013" TargetMode="External"/><Relationship Id="rId137" Type="http://schemas.openxmlformats.org/officeDocument/2006/relationships/hyperlink" Target="http://aclweb.org/anthology/D18-1163" TargetMode="External"/><Relationship Id="rId20" Type="http://schemas.openxmlformats.org/officeDocument/2006/relationships/hyperlink" Target="http://mucmd.org/CameraReadySubmissions/9%5CCameraReadySubmission%5CCLC_camera_ready.pdf" TargetMode="External"/><Relationship Id="rId41" Type="http://schemas.openxmlformats.org/officeDocument/2006/relationships/hyperlink" Target="http://mucmd.org/CameraReadySubmissions/76%5CCameraReadySubmission%5CMLHC.pdf" TargetMode="External"/><Relationship Id="rId62" Type="http://schemas.openxmlformats.org/officeDocument/2006/relationships/hyperlink" Target="https://arxiv.org/pdf/1808.04411.pdf" TargetMode="External"/><Relationship Id="rId83" Type="http://schemas.openxmlformats.org/officeDocument/2006/relationships/hyperlink" Target="https://arxiv.org/abs/1811.10376" TargetMode="External"/><Relationship Id="rId88" Type="http://schemas.openxmlformats.org/officeDocument/2006/relationships/hyperlink" Target="http://aclweb.org/anthology/D18-1185" TargetMode="External"/><Relationship Id="rId111" Type="http://schemas.openxmlformats.org/officeDocument/2006/relationships/hyperlink" Target="http://aclweb.org/anthology/D18-1218" TargetMode="External"/><Relationship Id="rId132" Type="http://schemas.openxmlformats.org/officeDocument/2006/relationships/hyperlink" Target="http://aclweb.org/anthology/P18-1254" TargetMode="External"/><Relationship Id="rId15" Type="http://schemas.openxmlformats.org/officeDocument/2006/relationships/hyperlink" Target="https://www.mlforhc.org/s/28.pdf" TargetMode="External"/><Relationship Id="rId36" Type="http://schemas.openxmlformats.org/officeDocument/2006/relationships/hyperlink" Target="http://mucmd.org/CameraReadySubmissions/60%5CCameraReadySubmission%5Ccamera-ready_DRL_concept-extract_v2.pdf" TargetMode="External"/><Relationship Id="rId57" Type="http://schemas.openxmlformats.org/officeDocument/2006/relationships/hyperlink" Target="https://arxiv.org/pdf/1806.11345.pdf" TargetMode="External"/><Relationship Id="rId106" Type="http://schemas.openxmlformats.org/officeDocument/2006/relationships/hyperlink" Target="http://aclweb.org/anthology/N18-1009" TargetMode="External"/><Relationship Id="rId127" Type="http://schemas.openxmlformats.org/officeDocument/2006/relationships/hyperlink" Target="http://aclweb.org/anthology/D18-1207" TargetMode="External"/><Relationship Id="rId10" Type="http://schemas.openxmlformats.org/officeDocument/2006/relationships/hyperlink" Target="https://www.mlforhc.org/s/18.pdf" TargetMode="External"/><Relationship Id="rId31" Type="http://schemas.openxmlformats.org/officeDocument/2006/relationships/hyperlink" Target="http://mucmd.org/CameraReadySubmissions/46%5CCameraReadySubmission%5Cmain.pdf" TargetMode="External"/><Relationship Id="rId52" Type="http://schemas.openxmlformats.org/officeDocument/2006/relationships/hyperlink" Target="http://arxiv.org/pdf/1807.03179.pdf" TargetMode="External"/><Relationship Id="rId73" Type="http://schemas.openxmlformats.org/officeDocument/2006/relationships/hyperlink" Target="https://arxiv.org/abs/1811.12194" TargetMode="External"/><Relationship Id="rId78" Type="http://schemas.openxmlformats.org/officeDocument/2006/relationships/hyperlink" Target="https://arxiv.org/abs/1811.10520" TargetMode="External"/><Relationship Id="rId94" Type="http://schemas.openxmlformats.org/officeDocument/2006/relationships/hyperlink" Target="http://aclweb.org/anthology/D18-1363" TargetMode="External"/><Relationship Id="rId99" Type="http://schemas.openxmlformats.org/officeDocument/2006/relationships/hyperlink" Target="http://aclweb.org/anthology/P18-1229" TargetMode="External"/><Relationship Id="rId101" Type="http://schemas.openxmlformats.org/officeDocument/2006/relationships/hyperlink" Target="http://aclweb.org/anthology/D18-1103" TargetMode="External"/><Relationship Id="rId122" Type="http://schemas.openxmlformats.org/officeDocument/2006/relationships/hyperlink" Target="http://aclweb.org/anthology/P18-1175" TargetMode="External"/><Relationship Id="rId143" Type="http://schemas.openxmlformats.org/officeDocument/2006/relationships/hyperlink" Target="http://aclweb.org/anthology/N18-1030" TargetMode="External"/><Relationship Id="rId148" Type="http://schemas.openxmlformats.org/officeDocument/2006/relationships/hyperlink" Target="http://aclweb.org/anthology/D18-1302" TargetMode="External"/><Relationship Id="rId4" Type="http://schemas.openxmlformats.org/officeDocument/2006/relationships/hyperlink" Target="https://www.mlforhc.org/s/3.pdf" TargetMode="External"/><Relationship Id="rId9" Type="http://schemas.openxmlformats.org/officeDocument/2006/relationships/hyperlink" Target="https://www.mlforhc.org/s/13.pdf" TargetMode="External"/><Relationship Id="rId26" Type="http://schemas.openxmlformats.org/officeDocument/2006/relationships/hyperlink" Target="http://mucmd.org/CameraReadySubmissions/27%5CCameraReadySubmission%5CFiorini_etal_MLHC2017.pdf" TargetMode="External"/><Relationship Id="rId47" Type="http://schemas.openxmlformats.org/officeDocument/2006/relationships/hyperlink" Target="https://arxiv.org/pdf/1806.09542.pdf" TargetMode="External"/><Relationship Id="rId68" Type="http://schemas.openxmlformats.org/officeDocument/2006/relationships/hyperlink" Target="https://arxiv.org/abs/1811.08943" TargetMode="External"/><Relationship Id="rId89" Type="http://schemas.openxmlformats.org/officeDocument/2006/relationships/hyperlink" Target="http://aclweb.org/anthology/D18-1133" TargetMode="External"/><Relationship Id="rId112" Type="http://schemas.openxmlformats.org/officeDocument/2006/relationships/hyperlink" Target="http://aclweb.org/anthology/P18-4001" TargetMode="External"/><Relationship Id="rId133" Type="http://schemas.openxmlformats.org/officeDocument/2006/relationships/hyperlink" Target="http://aclweb.org/anthology/N18-1018" TargetMode="External"/><Relationship Id="rId16" Type="http://schemas.openxmlformats.org/officeDocument/2006/relationships/hyperlink" Target="https://www.mlforhc.org/s/29.pdf" TargetMode="External"/><Relationship Id="rId37" Type="http://schemas.openxmlformats.org/officeDocument/2006/relationships/hyperlink" Target="http://mucmd.org/CameraReadySubmissions/62%5CCameraReadySubmission%5Cmedgan-mlhc-2017.pdf" TargetMode="External"/><Relationship Id="rId58" Type="http://schemas.openxmlformats.org/officeDocument/2006/relationships/hyperlink" Target="https://arxiv.org/pdf/1807.01514.pdf" TargetMode="External"/><Relationship Id="rId79" Type="http://schemas.openxmlformats.org/officeDocument/2006/relationships/hyperlink" Target="https://arxiv.org/abs/1811.12254" TargetMode="External"/><Relationship Id="rId102" Type="http://schemas.openxmlformats.org/officeDocument/2006/relationships/hyperlink" Target="http://aclweb.org/anthology/D18-1250" TargetMode="External"/><Relationship Id="rId123" Type="http://schemas.openxmlformats.org/officeDocument/2006/relationships/hyperlink" Target="http://aclweb.org/anthology/P18-1096" TargetMode="External"/><Relationship Id="rId144" Type="http://schemas.openxmlformats.org/officeDocument/2006/relationships/hyperlink" Target="http://aclweb.org/anthology/D18-1019" TargetMode="External"/><Relationship Id="rId90" Type="http://schemas.openxmlformats.org/officeDocument/2006/relationships/hyperlink" Target="http://aclweb.org/anthology/D18-146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aclweb.org/anthology/N18-1014" TargetMode="External"/><Relationship Id="rId21" Type="http://schemas.openxmlformats.org/officeDocument/2006/relationships/hyperlink" Target="http://mucmd.org/CameraReadySubmissions/13%5CCameraReadySubmission%5CSubmission%2013%20-%20Forte%20et%20al..pdf" TargetMode="External"/><Relationship Id="rId42" Type="http://schemas.openxmlformats.org/officeDocument/2006/relationships/hyperlink" Target="http://mucmd.org/CameraReadySubmissions/77_reproducibility-critical-care.pdf" TargetMode="External"/><Relationship Id="rId63" Type="http://schemas.openxmlformats.org/officeDocument/2006/relationships/hyperlink" Target="https://arxiv.org/pdf/1807.02599.pdf" TargetMode="External"/><Relationship Id="rId84" Type="http://schemas.openxmlformats.org/officeDocument/2006/relationships/hyperlink" Target="https://arxiv.org/abs/1811.08615" TargetMode="External"/><Relationship Id="rId138" Type="http://schemas.openxmlformats.org/officeDocument/2006/relationships/hyperlink" Target="http://aclweb.org/anthology/N18-1024" TargetMode="External"/><Relationship Id="rId107" Type="http://schemas.openxmlformats.org/officeDocument/2006/relationships/hyperlink" Target="http://aclweb.org/anthology/N18-1010" TargetMode="External"/><Relationship Id="rId11" Type="http://schemas.openxmlformats.org/officeDocument/2006/relationships/hyperlink" Target="https://www.mlforhc.org/s/19.pdf" TargetMode="External"/><Relationship Id="rId32" Type="http://schemas.openxmlformats.org/officeDocument/2006/relationships/hyperlink" Target="http://mucmd.org/CameraReadySubmissions/51%5CCameraReadySubmission%5Cjahja_lizotte_tolerance.pdf" TargetMode="External"/><Relationship Id="rId53" Type="http://schemas.openxmlformats.org/officeDocument/2006/relationships/hyperlink" Target="https://arxiv.org/pdf/1807.04077.pdf" TargetMode="External"/><Relationship Id="rId74" Type="http://schemas.openxmlformats.org/officeDocument/2006/relationships/hyperlink" Target="https://arxiv.org/abs/1811.10958" TargetMode="External"/><Relationship Id="rId128" Type="http://schemas.openxmlformats.org/officeDocument/2006/relationships/hyperlink" Target="http://aclweb.org/anthology/D18-1349" TargetMode="External"/><Relationship Id="rId149" Type="http://schemas.openxmlformats.org/officeDocument/2006/relationships/hyperlink" Target="http://aclweb.org/anthology/D18-1501" TargetMode="External"/><Relationship Id="rId5" Type="http://schemas.openxmlformats.org/officeDocument/2006/relationships/hyperlink" Target="https://www.mlforhc.org/s/8.pdf" TargetMode="External"/><Relationship Id="rId95" Type="http://schemas.openxmlformats.org/officeDocument/2006/relationships/hyperlink" Target="http://aclweb.org/anthology/D18-1090" TargetMode="External"/><Relationship Id="rId22" Type="http://schemas.openxmlformats.org/officeDocument/2006/relationships/hyperlink" Target="http://mucmd.org/CameraReadySubmissions/16_short_fuse_paper(1).pdf" TargetMode="External"/><Relationship Id="rId27" Type="http://schemas.openxmlformats.org/officeDocument/2006/relationships/hyperlink" Target="http://mucmd.org/CameraReadySubmissions/31%5CCameraReadySubmission%5Cclustering-patients-tensor-full.pdf" TargetMode="External"/><Relationship Id="rId43" Type="http://schemas.openxmlformats.org/officeDocument/2006/relationships/hyperlink" Target="https://arxiv.org/pdf/1807.02617.pdf" TargetMode="External"/><Relationship Id="rId48" Type="http://schemas.openxmlformats.org/officeDocument/2006/relationships/hyperlink" Target="http://arxiv.org/pdf/1807.01619.pdf" TargetMode="External"/><Relationship Id="rId64" Type="http://schemas.openxmlformats.org/officeDocument/2006/relationships/hyperlink" Target="https://arxiv.org/abs/1804.11046" TargetMode="External"/><Relationship Id="rId69" Type="http://schemas.openxmlformats.org/officeDocument/2006/relationships/hyperlink" Target="https://ml4health.github.io/2018/pages/papers.html" TargetMode="External"/><Relationship Id="rId113" Type="http://schemas.openxmlformats.org/officeDocument/2006/relationships/hyperlink" Target="http://aclweb.org/anthology/P18-1013" TargetMode="External"/><Relationship Id="rId118" Type="http://schemas.openxmlformats.org/officeDocument/2006/relationships/hyperlink" Target="http://aclweb.org/anthology/D18-1334" TargetMode="External"/><Relationship Id="rId134" Type="http://schemas.openxmlformats.org/officeDocument/2006/relationships/hyperlink" Target="http://aclweb.org/anthology/N18-1019" TargetMode="External"/><Relationship Id="rId139" Type="http://schemas.openxmlformats.org/officeDocument/2006/relationships/hyperlink" Target="http://aclweb.org/anthology/N18-1026" TargetMode="External"/><Relationship Id="rId80" Type="http://schemas.openxmlformats.org/officeDocument/2006/relationships/hyperlink" Target="https://arxiv.org/abs/1812.00058" TargetMode="External"/><Relationship Id="rId85" Type="http://schemas.openxmlformats.org/officeDocument/2006/relationships/hyperlink" Target="http://aclweb.org/anthology/N18-1004" TargetMode="External"/><Relationship Id="rId150" Type="http://schemas.openxmlformats.org/officeDocument/2006/relationships/hyperlink" Target="http://aclweb.org/anthology/D18-1141" TargetMode="External"/><Relationship Id="rId12" Type="http://schemas.openxmlformats.org/officeDocument/2006/relationships/hyperlink" Target="https://www.mlforhc.org/s/22.pdf" TargetMode="External"/><Relationship Id="rId17" Type="http://schemas.openxmlformats.org/officeDocument/2006/relationships/hyperlink" Target="https://www.mlforhc.org/s/31.pdf" TargetMode="External"/><Relationship Id="rId33" Type="http://schemas.openxmlformats.org/officeDocument/2006/relationships/hyperlink" Target="http://mucmd.org/CameraReadySubmissions/52%5CCameraReadySubmission%5CMLHC_2017_FINAL_cameraready.pdf" TargetMode="External"/><Relationship Id="rId38" Type="http://schemas.openxmlformats.org/officeDocument/2006/relationships/hyperlink" Target="http://mucmd.org/CameraReadySubmissions/63%5CCameraReadySubmission%5Cmlhc_2017.pdf" TargetMode="External"/><Relationship Id="rId59" Type="http://schemas.openxmlformats.org/officeDocument/2006/relationships/hyperlink" Target="https://arxiv.org/pdf/1807.03095.pdf" TargetMode="External"/><Relationship Id="rId103" Type="http://schemas.openxmlformats.org/officeDocument/2006/relationships/hyperlink" Target="http://aclweb.org/anthology/P18-1157" TargetMode="External"/><Relationship Id="rId108" Type="http://schemas.openxmlformats.org/officeDocument/2006/relationships/hyperlink" Target="http://aclweb.org/anthology/N18-1011" TargetMode="External"/><Relationship Id="rId124" Type="http://schemas.openxmlformats.org/officeDocument/2006/relationships/hyperlink" Target="http://aclweb.org/anthology/N18-1015" TargetMode="External"/><Relationship Id="rId129" Type="http://schemas.openxmlformats.org/officeDocument/2006/relationships/hyperlink" Target="http://aclweb.org/anthology/D18-1475" TargetMode="External"/><Relationship Id="rId54" Type="http://schemas.openxmlformats.org/officeDocument/2006/relationships/hyperlink" Target="https://arxiv.org/pdf/1807.04667.pdf" TargetMode="External"/><Relationship Id="rId70" Type="http://schemas.openxmlformats.org/officeDocument/2006/relationships/hyperlink" Target="https://arxiv.org/abs/1811.08633" TargetMode="External"/><Relationship Id="rId75" Type="http://schemas.openxmlformats.org/officeDocument/2006/relationships/hyperlink" Target="https://arxiv.org/abs/1812.00209" TargetMode="External"/><Relationship Id="rId91" Type="http://schemas.openxmlformats.org/officeDocument/2006/relationships/hyperlink" Target="http://aclweb.org/anthology/N18-1006" TargetMode="External"/><Relationship Id="rId96" Type="http://schemas.openxmlformats.org/officeDocument/2006/relationships/hyperlink" Target="http://aclweb.org/anthology/D18-1528" TargetMode="External"/><Relationship Id="rId140" Type="http://schemas.openxmlformats.org/officeDocument/2006/relationships/hyperlink" Target="http://aclweb.org/anthology/N18-1025" TargetMode="External"/><Relationship Id="rId145" Type="http://schemas.openxmlformats.org/officeDocument/2006/relationships/hyperlink" Target="http://aclweb.org/anthology/D18-1068" TargetMode="External"/><Relationship Id="rId1" Type="http://schemas.openxmlformats.org/officeDocument/2006/relationships/hyperlink" Target="https://www.mlforhc.org/s/Tonekaboni_S" TargetMode="External"/><Relationship Id="rId6" Type="http://schemas.openxmlformats.org/officeDocument/2006/relationships/hyperlink" Target="https://www.mlforhc.org/s/9.pdf" TargetMode="External"/><Relationship Id="rId23" Type="http://schemas.openxmlformats.org/officeDocument/2006/relationships/hyperlink" Target="http://mucmd.org/CameraReadySubmissions/23%5CCameraReadySubmission%5C0023.pdf" TargetMode="External"/><Relationship Id="rId28" Type="http://schemas.openxmlformats.org/officeDocument/2006/relationships/hyperlink" Target="http://mucmd.org/CameraReadySubmissions/34%5CCameraReadySubmission%5Ccontinuous-state-space%20_FINAL.pdf" TargetMode="External"/><Relationship Id="rId49" Type="http://schemas.openxmlformats.org/officeDocument/2006/relationships/hyperlink" Target="https://arxiv.org/pdf/1807.02442.pdf" TargetMode="External"/><Relationship Id="rId114" Type="http://schemas.openxmlformats.org/officeDocument/2006/relationships/hyperlink" Target="http://aclweb.org/anthology/P18-4007" TargetMode="External"/><Relationship Id="rId119" Type="http://schemas.openxmlformats.org/officeDocument/2006/relationships/hyperlink" Target="http://aclweb.org/anthology/D18-1350" TargetMode="External"/><Relationship Id="rId44" Type="http://schemas.openxmlformats.org/officeDocument/2006/relationships/hyperlink" Target="https://arxiv.org/pdf/1807.03633.pdf" TargetMode="External"/><Relationship Id="rId60" Type="http://schemas.openxmlformats.org/officeDocument/2006/relationships/hyperlink" Target="https://arxiv.org/pdf/1807.02608.pdf" TargetMode="External"/><Relationship Id="rId65" Type="http://schemas.openxmlformats.org/officeDocument/2006/relationships/hyperlink" Target="https://arxiv.org/abs/1811.08803" TargetMode="External"/><Relationship Id="rId81" Type="http://schemas.openxmlformats.org/officeDocument/2006/relationships/hyperlink" Target="https://arxiv.org/abs/1812.00172" TargetMode="External"/><Relationship Id="rId86" Type="http://schemas.openxmlformats.org/officeDocument/2006/relationships/hyperlink" Target="http://aclweb.org/anthology/N18-1003" TargetMode="External"/><Relationship Id="rId130" Type="http://schemas.openxmlformats.org/officeDocument/2006/relationships/hyperlink" Target="http://aclweb.org/anthology/P18-2066" TargetMode="External"/><Relationship Id="rId135" Type="http://schemas.openxmlformats.org/officeDocument/2006/relationships/hyperlink" Target="http://aclweb.org/anthology/N18-1020" TargetMode="External"/><Relationship Id="rId151" Type="http://schemas.openxmlformats.org/officeDocument/2006/relationships/hyperlink" Target="http://aclweb.org/anthology/D18-1063" TargetMode="External"/><Relationship Id="rId13" Type="http://schemas.openxmlformats.org/officeDocument/2006/relationships/hyperlink" Target="https://www.mlforhc.org/s/23.pdf" TargetMode="External"/><Relationship Id="rId18" Type="http://schemas.openxmlformats.org/officeDocument/2006/relationships/hyperlink" Target="http://mucmd.org/CameraReadySubmissions/1%5CCameraReadySubmission%5Cpcpas.pdf" TargetMode="External"/><Relationship Id="rId39" Type="http://schemas.openxmlformats.org/officeDocument/2006/relationships/hyperlink" Target="http://mucmd.org/CameraReadySubmissions/65%5CCameraReadySubmission%5Cclinical-intervention-prediction%20(4).pdf" TargetMode="External"/><Relationship Id="rId109" Type="http://schemas.openxmlformats.org/officeDocument/2006/relationships/hyperlink" Target="http://aclweb.org/anthology/D18-2020" TargetMode="External"/><Relationship Id="rId34" Type="http://schemas.openxmlformats.org/officeDocument/2006/relationships/hyperlink" Target="http://mucmd.org/CameraReadySubmissions/53%5CCameraReadySubmission%5CCR.pdf" TargetMode="External"/><Relationship Id="rId50" Type="http://schemas.openxmlformats.org/officeDocument/2006/relationships/hyperlink" Target="https://arxiv.org/pdf/1807.00637.pdf" TargetMode="External"/><Relationship Id="rId55" Type="http://schemas.openxmlformats.org/officeDocument/2006/relationships/hyperlink" Target="https://arxiv.org/pdf/1806.11189.pdf" TargetMode="External"/><Relationship Id="rId76" Type="http://schemas.openxmlformats.org/officeDocument/2006/relationships/hyperlink" Target="https://arxiv.org/abs/1812.00418" TargetMode="External"/><Relationship Id="rId97" Type="http://schemas.openxmlformats.org/officeDocument/2006/relationships/hyperlink" Target="http://aclweb.org/anthology/P18-3018" TargetMode="External"/><Relationship Id="rId104" Type="http://schemas.openxmlformats.org/officeDocument/2006/relationships/hyperlink" Target="http://aclweb.org/anthology/P18-2087" TargetMode="External"/><Relationship Id="rId120" Type="http://schemas.openxmlformats.org/officeDocument/2006/relationships/hyperlink" Target="http://aclweb.org/anthology/D18-1008" TargetMode="External"/><Relationship Id="rId125" Type="http://schemas.openxmlformats.org/officeDocument/2006/relationships/hyperlink" Target="http://aclweb.org/anthology/N18-1016" TargetMode="External"/><Relationship Id="rId141" Type="http://schemas.openxmlformats.org/officeDocument/2006/relationships/hyperlink" Target="http://aclweb.org/anthology/N18-1028" TargetMode="External"/><Relationship Id="rId146" Type="http://schemas.openxmlformats.org/officeDocument/2006/relationships/hyperlink" Target="http://aclweb.org/anthology/D18-1384" TargetMode="External"/><Relationship Id="rId7" Type="http://schemas.openxmlformats.org/officeDocument/2006/relationships/hyperlink" Target="https://www.mlforhc.org/s/11.pdf" TargetMode="External"/><Relationship Id="rId71" Type="http://schemas.openxmlformats.org/officeDocument/2006/relationships/hyperlink" Target="https://arxiv.org/abs/1811.10501" TargetMode="External"/><Relationship Id="rId92" Type="http://schemas.openxmlformats.org/officeDocument/2006/relationships/hyperlink" Target="http://aclweb.org/anthology/N18-1007" TargetMode="External"/><Relationship Id="rId2" Type="http://schemas.openxmlformats.org/officeDocument/2006/relationships/hyperlink" Target="https://www.mlforhc.org/s/1.pdf" TargetMode="External"/><Relationship Id="rId29" Type="http://schemas.openxmlformats.org/officeDocument/2006/relationships/hyperlink" Target="http://mucmd.org/CameraReadySubmissions/37%5CCameraReadySubmission%5CPFS_TTRNN_AFT_CameraReady.pdf" TargetMode="External"/><Relationship Id="rId24" Type="http://schemas.openxmlformats.org/officeDocument/2006/relationships/hyperlink" Target="http://mucmd.org/CameraReadySubmissions/25%5CCameraReadySubmission%5Csample.pdf" TargetMode="External"/><Relationship Id="rId40" Type="http://schemas.openxmlformats.org/officeDocument/2006/relationships/hyperlink" Target="http://mucmd.org/CameraReadySubmissions/67%5CCameraReadySubmission%5Cunderstanding-coagulopathy-multi%20(6).pdf" TargetMode="External"/><Relationship Id="rId45" Type="http://schemas.openxmlformats.org/officeDocument/2006/relationships/hyperlink" Target="http://arxiv.org/pdf/1807.03159.pdf" TargetMode="External"/><Relationship Id="rId66" Type="http://schemas.openxmlformats.org/officeDocument/2006/relationships/hyperlink" Target="http://arxiv.org/abs/1812.01087" TargetMode="External"/><Relationship Id="rId87" Type="http://schemas.openxmlformats.org/officeDocument/2006/relationships/hyperlink" Target="http://aclweb.org/anthology/N18-1005" TargetMode="External"/><Relationship Id="rId110" Type="http://schemas.openxmlformats.org/officeDocument/2006/relationships/hyperlink" Target="http://aclweb.org/anthology/D18-1236" TargetMode="External"/><Relationship Id="rId115" Type="http://schemas.openxmlformats.org/officeDocument/2006/relationships/hyperlink" Target="http://aclweb.org/anthology/N18-1012" TargetMode="External"/><Relationship Id="rId131" Type="http://schemas.openxmlformats.org/officeDocument/2006/relationships/hyperlink" Target="http://aclweb.org/anthology/P18-1144" TargetMode="External"/><Relationship Id="rId136" Type="http://schemas.openxmlformats.org/officeDocument/2006/relationships/hyperlink" Target="http://aclweb.org/anthology/N18-1021" TargetMode="External"/><Relationship Id="rId61" Type="http://schemas.openxmlformats.org/officeDocument/2006/relationships/hyperlink" Target="https://arxiv.org/pdf/1807.08039.pdf" TargetMode="External"/><Relationship Id="rId82" Type="http://schemas.openxmlformats.org/officeDocument/2006/relationships/hyperlink" Target="https://arxiv.org/abs/1811.11920" TargetMode="External"/><Relationship Id="rId19" Type="http://schemas.openxmlformats.org/officeDocument/2006/relationships/hyperlink" Target="http://mucmd.org/CameraReadySubmissions/4%5CCameraReadySubmission%5CP_Farnoosh_Sparse_MLHC_2017.pdf" TargetMode="External"/><Relationship Id="rId14" Type="http://schemas.openxmlformats.org/officeDocument/2006/relationships/hyperlink" Target="https://www.mlforhc.org/s/25.pdf" TargetMode="External"/><Relationship Id="rId30" Type="http://schemas.openxmlformats.org/officeDocument/2006/relationships/hyperlink" Target="http://mucmd.org/CameraReadySubmissions/40%5CCameraReadySubmission%5Cpatient_similarity.pdf" TargetMode="External"/><Relationship Id="rId35" Type="http://schemas.openxmlformats.org/officeDocument/2006/relationships/hyperlink" Target="http://mucmd.org/CameraReadySubmissions/54%5CCameraReadySubmission%5Cmucmd_edited.pdf" TargetMode="External"/><Relationship Id="rId56" Type="http://schemas.openxmlformats.org/officeDocument/2006/relationships/hyperlink" Target="https://arxiv.org/pdf/1807.01000.pdf" TargetMode="External"/><Relationship Id="rId77" Type="http://schemas.openxmlformats.org/officeDocument/2006/relationships/hyperlink" Target="https://arxiv.org/abs/1811.12589" TargetMode="External"/><Relationship Id="rId100" Type="http://schemas.openxmlformats.org/officeDocument/2006/relationships/hyperlink" Target="http://aclweb.org/anthology/D18-1375" TargetMode="External"/><Relationship Id="rId105" Type="http://schemas.openxmlformats.org/officeDocument/2006/relationships/hyperlink" Target="http://aclweb.org/anthology/P18-1123" TargetMode="External"/><Relationship Id="rId126" Type="http://schemas.openxmlformats.org/officeDocument/2006/relationships/hyperlink" Target="http://aclweb.org/anthology/N18-1017" TargetMode="External"/><Relationship Id="rId147" Type="http://schemas.openxmlformats.org/officeDocument/2006/relationships/hyperlink" Target="http://aclweb.org/anthology/D18-1508" TargetMode="External"/><Relationship Id="rId8" Type="http://schemas.openxmlformats.org/officeDocument/2006/relationships/hyperlink" Target="https://www.mlforhc.org/s/12.pdf" TargetMode="External"/><Relationship Id="rId51" Type="http://schemas.openxmlformats.org/officeDocument/2006/relationships/hyperlink" Target="https://arxiv.org/pdf/1807.01705.pdf" TargetMode="External"/><Relationship Id="rId72" Type="http://schemas.openxmlformats.org/officeDocument/2006/relationships/hyperlink" Target="https://arxiv.org/abs/1811.12793" TargetMode="External"/><Relationship Id="rId93" Type="http://schemas.openxmlformats.org/officeDocument/2006/relationships/hyperlink" Target="http://aclweb.org/anthology/N18-1008" TargetMode="External"/><Relationship Id="rId98" Type="http://schemas.openxmlformats.org/officeDocument/2006/relationships/hyperlink" Target="http://aclweb.org/anthology/P18-3015" TargetMode="External"/><Relationship Id="rId121" Type="http://schemas.openxmlformats.org/officeDocument/2006/relationships/hyperlink" Target="http://aclweb.org/anthology/P18-2102" TargetMode="External"/><Relationship Id="rId142" Type="http://schemas.openxmlformats.org/officeDocument/2006/relationships/hyperlink" Target="http://aclweb.org/anthology/N18-1029" TargetMode="External"/><Relationship Id="rId3" Type="http://schemas.openxmlformats.org/officeDocument/2006/relationships/hyperlink" Target="https://www.mlforhc.org/s/2.pdf" TargetMode="External"/><Relationship Id="rId25" Type="http://schemas.openxmlformats.org/officeDocument/2006/relationships/hyperlink" Target="http://mucmd.org/CameraReadySubmissions/26%5CCameraReadySubmission%5Ccamera-ready-predicting(3).pdf" TargetMode="External"/><Relationship Id="rId46" Type="http://schemas.openxmlformats.org/officeDocument/2006/relationships/hyperlink" Target="https://arxiv.org/pdf/1808.02602.pdf" TargetMode="External"/><Relationship Id="rId67" Type="http://schemas.openxmlformats.org/officeDocument/2006/relationships/hyperlink" Target="https://arxiv.org/abs/1812.00884" TargetMode="External"/><Relationship Id="rId116" Type="http://schemas.openxmlformats.org/officeDocument/2006/relationships/hyperlink" Target="http://aclweb.org/anthology/N18-1013" TargetMode="External"/><Relationship Id="rId137" Type="http://schemas.openxmlformats.org/officeDocument/2006/relationships/hyperlink" Target="http://aclweb.org/anthology/D18-1163" TargetMode="External"/><Relationship Id="rId20" Type="http://schemas.openxmlformats.org/officeDocument/2006/relationships/hyperlink" Target="http://mucmd.org/CameraReadySubmissions/9%5CCameraReadySubmission%5CCLC_camera_ready.pdf" TargetMode="External"/><Relationship Id="rId41" Type="http://schemas.openxmlformats.org/officeDocument/2006/relationships/hyperlink" Target="http://mucmd.org/CameraReadySubmissions/76%5CCameraReadySubmission%5CMLHC.pdf" TargetMode="External"/><Relationship Id="rId62" Type="http://schemas.openxmlformats.org/officeDocument/2006/relationships/hyperlink" Target="https://arxiv.org/pdf/1808.04411.pdf" TargetMode="External"/><Relationship Id="rId83" Type="http://schemas.openxmlformats.org/officeDocument/2006/relationships/hyperlink" Target="https://arxiv.org/abs/1811.10376" TargetMode="External"/><Relationship Id="rId88" Type="http://schemas.openxmlformats.org/officeDocument/2006/relationships/hyperlink" Target="http://aclweb.org/anthology/D18-1185" TargetMode="External"/><Relationship Id="rId111" Type="http://schemas.openxmlformats.org/officeDocument/2006/relationships/hyperlink" Target="http://aclweb.org/anthology/D18-1218" TargetMode="External"/><Relationship Id="rId132" Type="http://schemas.openxmlformats.org/officeDocument/2006/relationships/hyperlink" Target="http://aclweb.org/anthology/P18-1254" TargetMode="External"/><Relationship Id="rId15" Type="http://schemas.openxmlformats.org/officeDocument/2006/relationships/hyperlink" Target="https://www.mlforhc.org/s/28.pdf" TargetMode="External"/><Relationship Id="rId36" Type="http://schemas.openxmlformats.org/officeDocument/2006/relationships/hyperlink" Target="http://mucmd.org/CameraReadySubmissions/60%5CCameraReadySubmission%5Ccamera-ready_DRL_concept-extract_v2.pdf" TargetMode="External"/><Relationship Id="rId57" Type="http://schemas.openxmlformats.org/officeDocument/2006/relationships/hyperlink" Target="https://arxiv.org/pdf/1806.11345.pdf" TargetMode="External"/><Relationship Id="rId106" Type="http://schemas.openxmlformats.org/officeDocument/2006/relationships/hyperlink" Target="http://aclweb.org/anthology/N18-1009" TargetMode="External"/><Relationship Id="rId127" Type="http://schemas.openxmlformats.org/officeDocument/2006/relationships/hyperlink" Target="http://aclweb.org/anthology/D18-1207" TargetMode="External"/><Relationship Id="rId10" Type="http://schemas.openxmlformats.org/officeDocument/2006/relationships/hyperlink" Target="https://www.mlforhc.org/s/18.pdf" TargetMode="External"/><Relationship Id="rId31" Type="http://schemas.openxmlformats.org/officeDocument/2006/relationships/hyperlink" Target="http://mucmd.org/CameraReadySubmissions/46%5CCameraReadySubmission%5Cmain.pdf" TargetMode="External"/><Relationship Id="rId52" Type="http://schemas.openxmlformats.org/officeDocument/2006/relationships/hyperlink" Target="http://arxiv.org/pdf/1807.03179.pdf" TargetMode="External"/><Relationship Id="rId73" Type="http://schemas.openxmlformats.org/officeDocument/2006/relationships/hyperlink" Target="https://arxiv.org/abs/1811.12194" TargetMode="External"/><Relationship Id="rId78" Type="http://schemas.openxmlformats.org/officeDocument/2006/relationships/hyperlink" Target="https://arxiv.org/abs/1811.10520" TargetMode="External"/><Relationship Id="rId94" Type="http://schemas.openxmlformats.org/officeDocument/2006/relationships/hyperlink" Target="http://aclweb.org/anthology/D18-1363" TargetMode="External"/><Relationship Id="rId99" Type="http://schemas.openxmlformats.org/officeDocument/2006/relationships/hyperlink" Target="http://aclweb.org/anthology/P18-1229" TargetMode="External"/><Relationship Id="rId101" Type="http://schemas.openxmlformats.org/officeDocument/2006/relationships/hyperlink" Target="http://aclweb.org/anthology/D18-1103" TargetMode="External"/><Relationship Id="rId122" Type="http://schemas.openxmlformats.org/officeDocument/2006/relationships/hyperlink" Target="http://aclweb.org/anthology/P18-1175" TargetMode="External"/><Relationship Id="rId143" Type="http://schemas.openxmlformats.org/officeDocument/2006/relationships/hyperlink" Target="http://aclweb.org/anthology/N18-1030" TargetMode="External"/><Relationship Id="rId148" Type="http://schemas.openxmlformats.org/officeDocument/2006/relationships/hyperlink" Target="http://aclweb.org/anthology/D18-1302" TargetMode="External"/><Relationship Id="rId4" Type="http://schemas.openxmlformats.org/officeDocument/2006/relationships/hyperlink" Target="https://www.mlforhc.org/s/3.pdf" TargetMode="External"/><Relationship Id="rId9" Type="http://schemas.openxmlformats.org/officeDocument/2006/relationships/hyperlink" Target="https://www.mlforhc.org/s/13.pdf" TargetMode="External"/><Relationship Id="rId26" Type="http://schemas.openxmlformats.org/officeDocument/2006/relationships/hyperlink" Target="http://mucmd.org/CameraReadySubmissions/27%5CCameraReadySubmission%5CFiorini_etal_MLHC2017.pdf" TargetMode="External"/><Relationship Id="rId47" Type="http://schemas.openxmlformats.org/officeDocument/2006/relationships/hyperlink" Target="https://arxiv.org/pdf/1806.09542.pdf" TargetMode="External"/><Relationship Id="rId68" Type="http://schemas.openxmlformats.org/officeDocument/2006/relationships/hyperlink" Target="https://arxiv.org/abs/1811.08943" TargetMode="External"/><Relationship Id="rId89" Type="http://schemas.openxmlformats.org/officeDocument/2006/relationships/hyperlink" Target="http://aclweb.org/anthology/D18-1133" TargetMode="External"/><Relationship Id="rId112" Type="http://schemas.openxmlformats.org/officeDocument/2006/relationships/hyperlink" Target="http://aclweb.org/anthology/P18-4001" TargetMode="External"/><Relationship Id="rId133" Type="http://schemas.openxmlformats.org/officeDocument/2006/relationships/hyperlink" Target="http://aclweb.org/anthology/N18-1018" TargetMode="External"/><Relationship Id="rId16" Type="http://schemas.openxmlformats.org/officeDocument/2006/relationships/hyperlink" Target="https://www.mlforhc.org/s/29.pdf" TargetMode="External"/><Relationship Id="rId37" Type="http://schemas.openxmlformats.org/officeDocument/2006/relationships/hyperlink" Target="http://mucmd.org/CameraReadySubmissions/62%5CCameraReadySubmission%5Cmedgan-mlhc-2017.pdf" TargetMode="External"/><Relationship Id="rId58" Type="http://schemas.openxmlformats.org/officeDocument/2006/relationships/hyperlink" Target="https://arxiv.org/pdf/1807.01514.pdf" TargetMode="External"/><Relationship Id="rId79" Type="http://schemas.openxmlformats.org/officeDocument/2006/relationships/hyperlink" Target="https://arxiv.org/abs/1811.12254" TargetMode="External"/><Relationship Id="rId102" Type="http://schemas.openxmlformats.org/officeDocument/2006/relationships/hyperlink" Target="http://aclweb.org/anthology/D18-1250" TargetMode="External"/><Relationship Id="rId123" Type="http://schemas.openxmlformats.org/officeDocument/2006/relationships/hyperlink" Target="http://aclweb.org/anthology/P18-1096" TargetMode="External"/><Relationship Id="rId144" Type="http://schemas.openxmlformats.org/officeDocument/2006/relationships/hyperlink" Target="http://aclweb.org/anthology/D18-1019" TargetMode="External"/><Relationship Id="rId90" Type="http://schemas.openxmlformats.org/officeDocument/2006/relationships/hyperlink" Target="http://aclweb.org/anthology/D18-1464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papers.nips.cc/paper/8204-memory-augmented-policy-optimization-for-program-synthesis-and-semantic-parsing.pdf" TargetMode="External"/><Relationship Id="rId18" Type="http://schemas.openxmlformats.org/officeDocument/2006/relationships/hyperlink" Target="https://papers.nips.cc/paper/7983-towards-text-generation-with-adversarially-learned-neural-outlines.pdf" TargetMode="External"/><Relationship Id="rId26" Type="http://schemas.openxmlformats.org/officeDocument/2006/relationships/hyperlink" Target="https://papers.nips.cc/paper/7868-navigating-with-graph-representations-for-fast-and-scalable-decoding-of-neural-language-models.pdf" TargetMode="External"/><Relationship Id="rId39" Type="http://schemas.openxmlformats.org/officeDocument/2006/relationships/hyperlink" Target="https://papers.nips.cc/paper/7780-hyperbolic-neural-networks.pdf" TargetMode="External"/><Relationship Id="rId21" Type="http://schemas.openxmlformats.org/officeDocument/2006/relationships/hyperlink" Target="https://papers.nips.cc/paper/7346-a-neural-compositional-paradigm-for-image-captioning.pdf" TargetMode="External"/><Relationship Id="rId34" Type="http://schemas.openxmlformats.org/officeDocument/2006/relationships/hyperlink" Target="https://papers.nips.cc/paper/7443-distilled-wasserstein-learning-for-word-embedding-and-topic-modeling.pdf" TargetMode="External"/><Relationship Id="rId7" Type="http://schemas.openxmlformats.org/officeDocument/2006/relationships/hyperlink" Target="https://papers.nips.cc/paper/7723-recurrently-controlled-recurrent-networks.pdf" TargetMode="External"/><Relationship Id="rId2" Type="http://schemas.openxmlformats.org/officeDocument/2006/relationships/hyperlink" Target="https://papers.nips.cc/paper/8007-neural-architecture-optimization.pdf" TargetMode="External"/><Relationship Id="rId16" Type="http://schemas.openxmlformats.org/officeDocument/2006/relationships/hyperlink" Target="https://papers.nips.cc/paper/8246-using-trusted-data-to-train-deep-networks-on-labels-corrupted-by-severe-noise.pdf" TargetMode="External"/><Relationship Id="rId20" Type="http://schemas.openxmlformats.org/officeDocument/2006/relationships/hyperlink" Target="https://papers.nips.cc/paper/7558-dialog-to-action-conversational-question-answering-over-a-large-scale-knowledge-base.pdf" TargetMode="External"/><Relationship Id="rId29" Type="http://schemas.openxmlformats.org/officeDocument/2006/relationships/hyperlink" Target="https://papers.nips.cc/paper/7458-partially-supervised-image-captioning.pdf" TargetMode="External"/><Relationship Id="rId41" Type="http://schemas.openxmlformats.org/officeDocument/2006/relationships/hyperlink" Target="https://papers.nips.cc/paper/8083-multilingual-anchoring-interactive-topic-modeling-and-alignment-across-languages.pdf" TargetMode="External"/><Relationship Id="rId1" Type="http://schemas.openxmlformats.org/officeDocument/2006/relationships/hyperlink" Target="https://papers.nips.cc/paper/7739-densely-connected-attention-propagation-for-reading-comprehension.pdf" TargetMode="External"/><Relationship Id="rId6" Type="http://schemas.openxmlformats.org/officeDocument/2006/relationships/hyperlink" Target="https://papers.nips.cc/paper/7408-frage-frequency-agnostic-word-representation.pdf" TargetMode="External"/><Relationship Id="rId11" Type="http://schemas.openxmlformats.org/officeDocument/2006/relationships/hyperlink" Target="https://papers.nips.cc/paper/7409-generative-neural-machine-translation.pdf" TargetMode="External"/><Relationship Id="rId24" Type="http://schemas.openxmlformats.org/officeDocument/2006/relationships/hyperlink" Target="https://papers.nips.cc/paper/8179-latent-alignment-and-variational-attention.pdf" TargetMode="External"/><Relationship Id="rId32" Type="http://schemas.openxmlformats.org/officeDocument/2006/relationships/hyperlink" Target="https://papers.nips.cc/paper/7592-speaker-follower-models-for-vision-and-language-navigation.pdf" TargetMode="External"/><Relationship Id="rId37" Type="http://schemas.openxmlformats.org/officeDocument/2006/relationships/hyperlink" Target="https://papers.nips.cc/paper/7452-generating-informative-and-diverse-conversational-responses-via-adversarial-information-maximization.pdf" TargetMode="External"/><Relationship Id="rId40" Type="http://schemas.openxmlformats.org/officeDocument/2006/relationships/hyperlink" Target="https://papers.nips.cc/paper/7426-hybrid-retrieval-generation-reinforced-agent-for-medical-image-report-generation.pdf" TargetMode="External"/><Relationship Id="rId5" Type="http://schemas.openxmlformats.org/officeDocument/2006/relationships/hyperlink" Target="https://papers.nips.cc/paper/7854-deep-state-space-models-for-unconditional-word-generation.pdf" TargetMode="External"/><Relationship Id="rId15" Type="http://schemas.openxmlformats.org/officeDocument/2006/relationships/hyperlink" Target="https://papers.nips.cc/paper/8117-reversible-recurrent-neural-networks.pdf" TargetMode="External"/><Relationship Id="rId23" Type="http://schemas.openxmlformats.org/officeDocument/2006/relationships/hyperlink" Target="https://papers.nips.cc/paper/8152-the-global-anchor-method-for-quantifying-linguistic-shifts-and-domain-adaptation.pdf" TargetMode="External"/><Relationship Id="rId28" Type="http://schemas.openxmlformats.org/officeDocument/2006/relationships/hyperlink" Target="https://papers.nips.cc/paper/7986-diffusion-maps-for-textual-network-embedding.pdf" TargetMode="External"/><Relationship Id="rId36" Type="http://schemas.openxmlformats.org/officeDocument/2006/relationships/hyperlink" Target="https://papers.nips.cc/paper/7695-semi-supervised-learning-with-declaratively-specified-entropy-constraints.pdf" TargetMode="External"/><Relationship Id="rId10" Type="http://schemas.openxmlformats.org/officeDocument/2006/relationships/hyperlink" Target="https://papers.nips.cc/paper/8295-groupreduce-block-wise-low-rank-approximation-for-neural-language-model-shrinking.pdf" TargetMode="External"/><Relationship Id="rId19" Type="http://schemas.openxmlformats.org/officeDocument/2006/relationships/hyperlink" Target="https://papers.nips.cc/paper/7757-content-preserving-text-generation-with-attribute-controls.pdf" TargetMode="External"/><Relationship Id="rId31" Type="http://schemas.openxmlformats.org/officeDocument/2006/relationships/hyperlink" Target="https://papers.nips.cc/paper/7377-learning-semantic-similarity-in-a-continuous-space.pdf" TargetMode="External"/><Relationship Id="rId4" Type="http://schemas.openxmlformats.org/officeDocument/2006/relationships/hyperlink" Target="https://papers.nips.cc/paper/7881-turbo-learning-for-captionbot-and-drawingbot.pdf" TargetMode="External"/><Relationship Id="rId9" Type="http://schemas.openxmlformats.org/officeDocument/2006/relationships/hyperlink" Target="https://papers.nips.cc/paper/7914-efficient-gradient-computation-for-structured-output-learning-with-rational-and-tropical-losses.pdf" TargetMode="External"/><Relationship Id="rId14" Type="http://schemas.openxmlformats.org/officeDocument/2006/relationships/hyperlink" Target="https://papers.nips.cc/paper/7965-unsupervised-cross-modal-alignment-of-speech-and-text-embedding-spaces.pdf" TargetMode="External"/><Relationship Id="rId22" Type="http://schemas.openxmlformats.org/officeDocument/2006/relationships/hyperlink" Target="https://papers.nips.cc/paper/8019-layer-wise-coordination-between-encoder-and-decoder-for-neural-machine-translation.pdf" TargetMode="External"/><Relationship Id="rId27" Type="http://schemas.openxmlformats.org/officeDocument/2006/relationships/hyperlink" Target="https://papers.nips.cc/paper/7615-learn-what-not-to-learn-action-elimination-with-deep-reinforcement-learning.pdf" TargetMode="External"/><Relationship Id="rId30" Type="http://schemas.openxmlformats.org/officeDocument/2006/relationships/hyperlink" Target="https://papers.nips.cc/paper/7848-macnet-transferring-knowledge-from-machine-comprehension-to-sequence-to-sequence-models.pdf" TargetMode="External"/><Relationship Id="rId35" Type="http://schemas.openxmlformats.org/officeDocument/2006/relationships/hyperlink" Target="https://papers.nips.cc/paper/7368-on-the-dimensionality-of-word-embedding.pdf" TargetMode="External"/><Relationship Id="rId8" Type="http://schemas.openxmlformats.org/officeDocument/2006/relationships/hyperlink" Target="https://papers.nips.cc/paper/7959-unsupervised-text-style-transfer-using-language-models-as-discriminators.pdf" TargetMode="External"/><Relationship Id="rId3" Type="http://schemas.openxmlformats.org/officeDocument/2006/relationships/hyperlink" Target="https://papers.nips.cc/paper/7348-dialog-based-interactive-image-retrieval.pdf" TargetMode="External"/><Relationship Id="rId12" Type="http://schemas.openxmlformats.org/officeDocument/2006/relationships/hyperlink" Target="https://papers.nips.cc/paper/7717-adversarial-text-generation-via-feature-movers-distance.pdf" TargetMode="External"/><Relationship Id="rId17" Type="http://schemas.openxmlformats.org/officeDocument/2006/relationships/hyperlink" Target="https://papers.nips.cc/paper/8018-learning-to-repair-software-vulnerabilities-with-generative-adversarial-networks.pdf" TargetMode="External"/><Relationship Id="rId25" Type="http://schemas.openxmlformats.org/officeDocument/2006/relationships/hyperlink" Target="https://papers.nips.cc/paper/8163-e-snli-natural-language-inference-with-natural-language-explanations.pdf" TargetMode="External"/><Relationship Id="rId33" Type="http://schemas.openxmlformats.org/officeDocument/2006/relationships/hyperlink" Target="https://papers.nips.cc/paper/8209-a-retrieve-and-edit-framework-for-predicting-structured-outputs.pdf" TargetMode="External"/><Relationship Id="rId38" Type="http://schemas.openxmlformats.org/officeDocument/2006/relationships/hyperlink" Target="https://papers.nips.cc/paper/7897-incorporating-context-into-language-encoding-models-for-fmr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5.75" customHeight="1"/>
  <cols>
    <col min="1" max="1" width="8.5" hidden="1" customWidth="1"/>
    <col min="2" max="2" width="71.5" customWidth="1"/>
    <col min="3" max="3" width="9" customWidth="1"/>
    <col min="4" max="4" width="10" customWidth="1"/>
    <col min="5" max="5" width="73.33203125" customWidth="1"/>
    <col min="6" max="6" width="6.5" customWidth="1"/>
    <col min="7" max="7" width="20.1640625" customWidth="1"/>
    <col min="8" max="9" width="63.83203125" customWidth="1"/>
  </cols>
  <sheetData>
    <row r="1" spans="1:10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11</v>
      </c>
      <c r="G1" s="5" t="s">
        <v>12</v>
      </c>
      <c r="H1" s="1" t="s">
        <v>18</v>
      </c>
      <c r="I1" s="1" t="s">
        <v>19</v>
      </c>
      <c r="J1" s="1" t="s">
        <v>20</v>
      </c>
    </row>
    <row r="2" spans="1:10">
      <c r="A2" s="6"/>
      <c r="B2" s="6" t="s">
        <v>27</v>
      </c>
      <c r="C2" s="8"/>
      <c r="D2" s="1" t="s">
        <v>30</v>
      </c>
      <c r="E2" s="9" t="s">
        <v>31</v>
      </c>
      <c r="F2" s="1"/>
      <c r="G2" s="5">
        <v>1</v>
      </c>
      <c r="H2" s="8"/>
      <c r="I2" s="8"/>
      <c r="J2" s="8"/>
    </row>
    <row r="3" spans="1:10">
      <c r="A3" s="6"/>
      <c r="B3" s="6" t="s">
        <v>32</v>
      </c>
      <c r="C3" s="8"/>
      <c r="D3" s="1" t="s">
        <v>30</v>
      </c>
      <c r="E3" s="3" t="s">
        <v>33</v>
      </c>
      <c r="F3" s="8"/>
      <c r="G3" s="5">
        <v>1</v>
      </c>
      <c r="H3" s="8"/>
      <c r="I3" s="8"/>
      <c r="J3" s="8"/>
    </row>
    <row r="4" spans="1:10">
      <c r="A4" s="6"/>
      <c r="B4" s="6" t="s">
        <v>34</v>
      </c>
      <c r="C4" s="8"/>
      <c r="D4" s="1" t="s">
        <v>30</v>
      </c>
      <c r="E4" s="10" t="s">
        <v>1</v>
      </c>
      <c r="F4" s="1">
        <v>1</v>
      </c>
      <c r="G4" s="5">
        <v>1</v>
      </c>
      <c r="H4" s="1"/>
      <c r="I4" s="11" t="s">
        <v>35</v>
      </c>
      <c r="J4" s="8"/>
    </row>
    <row r="5" spans="1:10">
      <c r="A5" s="6"/>
      <c r="B5" s="6" t="s">
        <v>36</v>
      </c>
      <c r="C5" s="8"/>
      <c r="D5" s="1" t="s">
        <v>30</v>
      </c>
      <c r="E5" s="3" t="s">
        <v>37</v>
      </c>
      <c r="F5" s="8"/>
      <c r="G5" s="5"/>
      <c r="H5" s="8"/>
      <c r="I5" s="8"/>
      <c r="J5" s="8"/>
    </row>
    <row r="6" spans="1:10">
      <c r="A6" s="6"/>
      <c r="B6" s="6" t="s">
        <v>38</v>
      </c>
      <c r="C6" s="6"/>
      <c r="D6" s="1" t="s">
        <v>30</v>
      </c>
      <c r="E6" s="3" t="s">
        <v>39</v>
      </c>
      <c r="F6" s="8"/>
      <c r="G6" s="5">
        <v>1</v>
      </c>
      <c r="H6" s="8"/>
      <c r="I6" s="8"/>
      <c r="J6" s="8"/>
    </row>
    <row r="7" spans="1:10">
      <c r="A7" s="1"/>
      <c r="B7" s="1" t="s">
        <v>40</v>
      </c>
      <c r="C7" s="11" t="s">
        <v>41</v>
      </c>
      <c r="D7" s="1" t="s">
        <v>30</v>
      </c>
      <c r="E7" s="3" t="s">
        <v>42</v>
      </c>
      <c r="F7" s="8"/>
      <c r="G7" s="12"/>
      <c r="H7" s="8"/>
      <c r="I7" s="8"/>
      <c r="J7" s="8"/>
    </row>
    <row r="8" spans="1:10">
      <c r="A8" s="6"/>
      <c r="B8" s="6" t="s">
        <v>43</v>
      </c>
      <c r="C8" s="6"/>
      <c r="D8" s="1" t="s">
        <v>30</v>
      </c>
      <c r="E8" s="3" t="s">
        <v>42</v>
      </c>
      <c r="F8" s="8"/>
      <c r="G8" s="12"/>
      <c r="H8" s="8"/>
      <c r="I8" s="8"/>
      <c r="J8" s="8"/>
    </row>
    <row r="9" spans="1:10">
      <c r="A9" s="6"/>
      <c r="B9" s="6" t="s">
        <v>44</v>
      </c>
      <c r="C9" s="6"/>
      <c r="D9" s="1" t="s">
        <v>30</v>
      </c>
      <c r="E9" s="3" t="s">
        <v>45</v>
      </c>
      <c r="F9" s="8"/>
      <c r="G9" s="5">
        <v>1</v>
      </c>
      <c r="H9" s="8"/>
      <c r="I9" s="8"/>
      <c r="J9" s="8"/>
    </row>
    <row r="10" spans="1:10">
      <c r="A10" s="6"/>
      <c r="B10" s="6" t="s">
        <v>46</v>
      </c>
      <c r="C10" s="6"/>
      <c r="D10" s="1" t="s">
        <v>30</v>
      </c>
      <c r="E10" s="13" t="s">
        <v>1</v>
      </c>
      <c r="F10" s="1">
        <v>1</v>
      </c>
      <c r="G10" s="5">
        <v>1</v>
      </c>
      <c r="H10" s="8"/>
      <c r="I10" s="8"/>
      <c r="J10" s="8"/>
    </row>
    <row r="11" spans="1:10">
      <c r="A11" s="6"/>
      <c r="B11" s="6" t="s">
        <v>47</v>
      </c>
      <c r="C11" s="6"/>
      <c r="D11" s="1" t="s">
        <v>30</v>
      </c>
      <c r="E11" s="3" t="s">
        <v>48</v>
      </c>
      <c r="F11" s="1">
        <v>1</v>
      </c>
      <c r="G11" s="5"/>
      <c r="H11" s="1"/>
      <c r="I11" s="11" t="s">
        <v>49</v>
      </c>
      <c r="J11" s="8"/>
    </row>
    <row r="12" spans="1:10">
      <c r="A12" s="6"/>
      <c r="B12" s="6" t="s">
        <v>51</v>
      </c>
      <c r="C12" s="8"/>
      <c r="D12" s="1" t="s">
        <v>30</v>
      </c>
      <c r="E12" s="3" t="s">
        <v>52</v>
      </c>
      <c r="F12" s="1"/>
      <c r="G12" s="5"/>
      <c r="H12" s="1"/>
      <c r="I12" s="1"/>
      <c r="J12" s="8"/>
    </row>
    <row r="13" spans="1:10">
      <c r="A13" s="6"/>
      <c r="B13" s="6" t="s">
        <v>53</v>
      </c>
      <c r="C13" s="8"/>
      <c r="D13" s="1" t="s">
        <v>30</v>
      </c>
      <c r="E13" s="3" t="s">
        <v>23</v>
      </c>
      <c r="F13" s="1">
        <v>1</v>
      </c>
      <c r="G13" s="5">
        <v>1</v>
      </c>
      <c r="H13" s="1"/>
      <c r="I13" s="11" t="s">
        <v>54</v>
      </c>
      <c r="J13" s="1" t="s">
        <v>55</v>
      </c>
    </row>
    <row r="14" spans="1:10">
      <c r="A14" s="6"/>
      <c r="B14" s="6" t="s">
        <v>56</v>
      </c>
      <c r="C14" s="8"/>
      <c r="D14" s="1" t="s">
        <v>30</v>
      </c>
      <c r="E14" s="3" t="s">
        <v>57</v>
      </c>
      <c r="F14" s="1">
        <v>1</v>
      </c>
      <c r="G14" s="12"/>
      <c r="H14" s="8"/>
      <c r="I14" s="8"/>
      <c r="J14" s="8"/>
    </row>
    <row r="15" spans="1:10">
      <c r="A15" s="6"/>
      <c r="B15" s="6" t="s">
        <v>58</v>
      </c>
      <c r="C15" s="8"/>
      <c r="D15" s="1" t="s">
        <v>30</v>
      </c>
      <c r="E15" s="3" t="s">
        <v>59</v>
      </c>
      <c r="F15" s="1">
        <v>1</v>
      </c>
      <c r="G15" s="5">
        <v>1</v>
      </c>
      <c r="H15" s="8"/>
      <c r="I15" s="8"/>
      <c r="J15" s="8"/>
    </row>
    <row r="16" spans="1:10">
      <c r="A16" s="6"/>
      <c r="B16" s="6" t="s">
        <v>60</v>
      </c>
      <c r="C16" s="6"/>
      <c r="D16" s="1" t="s">
        <v>30</v>
      </c>
      <c r="E16" s="3" t="s">
        <v>61</v>
      </c>
      <c r="F16" s="1"/>
      <c r="G16" s="5">
        <v>1</v>
      </c>
      <c r="H16" s="1"/>
      <c r="I16" s="11" t="s">
        <v>63</v>
      </c>
      <c r="J16" s="8"/>
    </row>
    <row r="17" spans="1:10">
      <c r="A17" s="6"/>
      <c r="B17" s="6" t="s">
        <v>64</v>
      </c>
      <c r="C17" s="6"/>
      <c r="D17" s="1" t="s">
        <v>30</v>
      </c>
      <c r="E17" s="3" t="s">
        <v>65</v>
      </c>
      <c r="F17" s="1">
        <v>1</v>
      </c>
      <c r="G17" s="12"/>
      <c r="H17" s="8"/>
      <c r="I17" s="8"/>
      <c r="J17" s="8"/>
    </row>
    <row r="18" spans="1:10">
      <c r="A18" s="6"/>
      <c r="B18" s="6" t="s">
        <v>66</v>
      </c>
      <c r="C18" s="6"/>
      <c r="D18" s="1" t="s">
        <v>30</v>
      </c>
      <c r="E18" s="3" t="s">
        <v>67</v>
      </c>
      <c r="F18" s="8"/>
      <c r="G18" s="5">
        <v>1</v>
      </c>
      <c r="H18" s="8"/>
      <c r="I18" s="8"/>
      <c r="J18" s="8"/>
    </row>
    <row r="19" spans="1:10">
      <c r="A19" s="1"/>
      <c r="B19" s="1" t="s">
        <v>68</v>
      </c>
      <c r="C19" s="11" t="s">
        <v>69</v>
      </c>
      <c r="D19" s="1" t="s">
        <v>30</v>
      </c>
      <c r="E19" s="3" t="s">
        <v>70</v>
      </c>
      <c r="F19" s="3">
        <v>1</v>
      </c>
      <c r="G19" s="3">
        <v>1</v>
      </c>
      <c r="H19" s="3"/>
      <c r="I19" s="3"/>
      <c r="J19" s="8"/>
    </row>
    <row r="20" spans="1:10">
      <c r="A20" s="6"/>
      <c r="B20" s="6" t="s">
        <v>71</v>
      </c>
      <c r="C20" s="6"/>
      <c r="D20" s="1" t="s">
        <v>30</v>
      </c>
      <c r="E20" s="3" t="s">
        <v>72</v>
      </c>
      <c r="F20" s="8"/>
      <c r="G20" s="5">
        <v>1</v>
      </c>
      <c r="H20" s="8"/>
      <c r="I20" s="8"/>
      <c r="J20" s="8"/>
    </row>
    <row r="21" spans="1:10">
      <c r="A21" s="6"/>
      <c r="B21" s="6" t="s">
        <v>73</v>
      </c>
      <c r="C21" s="6"/>
      <c r="D21" s="1" t="s">
        <v>30</v>
      </c>
      <c r="E21" s="3" t="s">
        <v>75</v>
      </c>
      <c r="F21" s="8"/>
      <c r="G21" s="5">
        <v>1</v>
      </c>
      <c r="H21" s="8"/>
      <c r="I21" s="8"/>
      <c r="J21" s="8"/>
    </row>
    <row r="22" spans="1:10">
      <c r="A22" s="1"/>
      <c r="B22" s="1" t="s">
        <v>76</v>
      </c>
      <c r="C22" s="11" t="s">
        <v>77</v>
      </c>
      <c r="D22" s="1" t="s">
        <v>30</v>
      </c>
      <c r="E22" s="3" t="s">
        <v>79</v>
      </c>
      <c r="F22" s="1">
        <v>1</v>
      </c>
      <c r="G22" s="5">
        <v>1</v>
      </c>
      <c r="H22" s="1"/>
      <c r="I22" s="1" t="s">
        <v>80</v>
      </c>
      <c r="J22" s="8"/>
    </row>
    <row r="23" spans="1:10">
      <c r="A23" s="6"/>
      <c r="B23" s="6" t="s">
        <v>81</v>
      </c>
      <c r="C23" s="8"/>
      <c r="D23" s="1" t="s">
        <v>30</v>
      </c>
      <c r="E23" s="3" t="s">
        <v>82</v>
      </c>
      <c r="F23" s="8"/>
      <c r="G23" s="5">
        <v>1</v>
      </c>
      <c r="H23" s="8"/>
      <c r="I23" s="8"/>
      <c r="J23" s="8"/>
    </row>
    <row r="24" spans="1:10">
      <c r="A24" s="6"/>
      <c r="B24" s="6" t="s">
        <v>83</v>
      </c>
      <c r="C24" s="6"/>
      <c r="D24" s="1" t="s">
        <v>30</v>
      </c>
      <c r="E24" s="3" t="s">
        <v>1</v>
      </c>
      <c r="F24" s="1">
        <v>1</v>
      </c>
      <c r="G24" s="5">
        <v>1</v>
      </c>
      <c r="H24" s="8"/>
      <c r="I24" s="8"/>
      <c r="J24" s="8"/>
    </row>
    <row r="25" spans="1:10">
      <c r="A25" s="6"/>
      <c r="B25" s="6" t="s">
        <v>84</v>
      </c>
      <c r="C25" s="6"/>
      <c r="D25" s="1" t="s">
        <v>30</v>
      </c>
      <c r="E25" s="3" t="s">
        <v>86</v>
      </c>
      <c r="F25" s="8"/>
      <c r="G25" s="12"/>
      <c r="H25" s="8"/>
      <c r="I25" s="8"/>
      <c r="J25" s="8"/>
    </row>
    <row r="26" spans="1:10">
      <c r="A26" s="6"/>
      <c r="B26" s="6" t="s">
        <v>88</v>
      </c>
      <c r="C26" s="6"/>
      <c r="D26" s="1" t="s">
        <v>30</v>
      </c>
      <c r="E26" s="15" t="s">
        <v>89</v>
      </c>
      <c r="F26" s="1">
        <v>1</v>
      </c>
      <c r="G26" s="5"/>
      <c r="H26" s="1"/>
      <c r="I26" s="11" t="s">
        <v>90</v>
      </c>
      <c r="J26" s="1"/>
    </row>
    <row r="27" spans="1:10">
      <c r="A27" s="6"/>
      <c r="B27" s="6" t="s">
        <v>95</v>
      </c>
      <c r="C27" s="6"/>
      <c r="D27" s="1" t="s">
        <v>30</v>
      </c>
      <c r="E27" s="3" t="s">
        <v>96</v>
      </c>
      <c r="F27" s="1">
        <v>1</v>
      </c>
      <c r="G27" s="5">
        <v>1</v>
      </c>
      <c r="H27" s="1"/>
      <c r="I27" s="11" t="s">
        <v>97</v>
      </c>
      <c r="J27" s="1"/>
    </row>
    <row r="28" spans="1:10">
      <c r="A28" s="1"/>
      <c r="B28" s="1" t="s">
        <v>99</v>
      </c>
      <c r="C28" s="11" t="s">
        <v>100</v>
      </c>
      <c r="D28" s="1" t="s">
        <v>30</v>
      </c>
      <c r="E28" s="3" t="s">
        <v>107</v>
      </c>
      <c r="F28" s="8"/>
      <c r="G28" s="5">
        <v>1</v>
      </c>
      <c r="H28" s="8"/>
      <c r="I28" s="8"/>
      <c r="J28" s="8"/>
    </row>
    <row r="29" spans="1:10">
      <c r="A29" s="6"/>
      <c r="B29" s="6" t="s">
        <v>109</v>
      </c>
      <c r="C29" s="6"/>
      <c r="D29" s="1" t="s">
        <v>30</v>
      </c>
      <c r="E29" s="3" t="s">
        <v>107</v>
      </c>
      <c r="F29" s="8"/>
      <c r="G29" s="5">
        <v>1</v>
      </c>
      <c r="H29" s="8"/>
      <c r="I29" s="8"/>
      <c r="J29" s="8"/>
    </row>
    <row r="30" spans="1:10">
      <c r="A30" s="6"/>
      <c r="B30" s="6" t="s">
        <v>113</v>
      </c>
      <c r="C30" s="6"/>
      <c r="D30" s="1" t="s">
        <v>30</v>
      </c>
      <c r="E30" s="3" t="s">
        <v>115</v>
      </c>
      <c r="F30" s="8"/>
      <c r="G30" s="12"/>
      <c r="H30" s="8"/>
      <c r="I30" s="8"/>
      <c r="J30" s="8"/>
    </row>
    <row r="31" spans="1:10">
      <c r="A31" s="6"/>
      <c r="B31" s="6" t="s">
        <v>116</v>
      </c>
      <c r="C31" s="6"/>
      <c r="D31" s="1" t="s">
        <v>30</v>
      </c>
      <c r="E31" s="3" t="s">
        <v>117</v>
      </c>
      <c r="F31" s="8"/>
      <c r="G31" s="5">
        <v>1</v>
      </c>
      <c r="H31" s="8"/>
      <c r="I31" s="8"/>
      <c r="J31" s="8"/>
    </row>
    <row r="32" spans="1:10">
      <c r="A32" s="6"/>
      <c r="B32" s="6" t="s">
        <v>118</v>
      </c>
      <c r="C32" s="8"/>
      <c r="D32" s="1" t="s">
        <v>30</v>
      </c>
      <c r="E32" s="3" t="s">
        <v>119</v>
      </c>
      <c r="F32" s="1"/>
      <c r="G32" s="5">
        <v>1</v>
      </c>
      <c r="H32" s="1"/>
      <c r="I32" s="11" t="s">
        <v>121</v>
      </c>
      <c r="J32" s="1" t="s">
        <v>122</v>
      </c>
    </row>
    <row r="33" spans="1:10">
      <c r="A33" s="6"/>
      <c r="B33" s="6" t="s">
        <v>123</v>
      </c>
      <c r="C33" s="8"/>
      <c r="D33" s="1" t="s">
        <v>124</v>
      </c>
      <c r="E33" s="3" t="s">
        <v>1</v>
      </c>
      <c r="F33" s="1">
        <v>1</v>
      </c>
      <c r="G33" s="5">
        <v>1</v>
      </c>
      <c r="H33" s="8"/>
      <c r="I33" s="8"/>
      <c r="J33" s="8"/>
    </row>
    <row r="34" spans="1:10">
      <c r="A34" s="6"/>
      <c r="B34" s="6" t="s">
        <v>125</v>
      </c>
      <c r="C34" s="6"/>
      <c r="D34" s="1" t="s">
        <v>124</v>
      </c>
      <c r="E34" s="3" t="s">
        <v>107</v>
      </c>
      <c r="F34" s="8"/>
      <c r="G34" s="5">
        <v>1</v>
      </c>
      <c r="H34" s="8"/>
      <c r="I34" s="8"/>
      <c r="J34" s="8"/>
    </row>
    <row r="35" spans="1:10">
      <c r="A35" s="6"/>
      <c r="B35" s="6" t="s">
        <v>128</v>
      </c>
      <c r="C35" s="6"/>
      <c r="D35" s="1" t="s">
        <v>124</v>
      </c>
      <c r="E35" s="3" t="s">
        <v>130</v>
      </c>
      <c r="F35" s="1">
        <v>1</v>
      </c>
      <c r="G35" s="5">
        <v>1</v>
      </c>
      <c r="H35" s="1"/>
      <c r="I35" s="1"/>
      <c r="J35" s="8"/>
    </row>
    <row r="36" spans="1:10">
      <c r="A36" s="6"/>
      <c r="B36" s="6" t="s">
        <v>131</v>
      </c>
      <c r="C36" s="6"/>
      <c r="D36" s="1" t="s">
        <v>124</v>
      </c>
      <c r="E36" s="3" t="s">
        <v>132</v>
      </c>
      <c r="F36" s="8"/>
      <c r="G36" s="5">
        <v>1</v>
      </c>
      <c r="H36" s="8"/>
      <c r="I36" s="8"/>
      <c r="J36" s="8"/>
    </row>
    <row r="37" spans="1:10">
      <c r="A37" s="6"/>
      <c r="B37" s="6" t="s">
        <v>133</v>
      </c>
      <c r="C37" s="6"/>
      <c r="D37" s="1" t="s">
        <v>124</v>
      </c>
      <c r="E37" s="3" t="s">
        <v>134</v>
      </c>
      <c r="F37" s="3"/>
      <c r="G37" s="3">
        <v>1</v>
      </c>
      <c r="H37" s="3"/>
      <c r="I37" s="3"/>
      <c r="J37" s="8"/>
    </row>
    <row r="38" spans="1:10">
      <c r="A38" s="6"/>
      <c r="B38" s="6" t="s">
        <v>135</v>
      </c>
      <c r="C38" s="6"/>
      <c r="D38" s="1" t="s">
        <v>124</v>
      </c>
      <c r="E38" s="3" t="s">
        <v>136</v>
      </c>
      <c r="F38" s="8"/>
      <c r="G38" s="5">
        <v>1</v>
      </c>
      <c r="H38" s="8"/>
      <c r="I38" s="8"/>
      <c r="J38" s="8"/>
    </row>
    <row r="39" spans="1:10">
      <c r="A39" s="6"/>
      <c r="B39" s="6" t="s">
        <v>137</v>
      </c>
      <c r="C39" s="8"/>
      <c r="D39" s="1" t="s">
        <v>124</v>
      </c>
      <c r="E39" s="3" t="s">
        <v>107</v>
      </c>
      <c r="F39" s="8"/>
      <c r="G39" s="5">
        <v>1</v>
      </c>
      <c r="H39" s="8"/>
      <c r="I39" s="8"/>
      <c r="J39" s="8"/>
    </row>
    <row r="40" spans="1:10">
      <c r="A40" s="6"/>
      <c r="B40" s="6" t="s">
        <v>138</v>
      </c>
      <c r="C40" s="8"/>
      <c r="D40" s="1" t="s">
        <v>124</v>
      </c>
      <c r="E40" s="3" t="s">
        <v>139</v>
      </c>
      <c r="F40" s="3"/>
      <c r="G40" s="3">
        <v>1</v>
      </c>
      <c r="H40" s="3"/>
      <c r="I40" s="3"/>
      <c r="J40" s="8"/>
    </row>
    <row r="41" spans="1:10">
      <c r="A41" s="6"/>
      <c r="B41" s="6" t="s">
        <v>140</v>
      </c>
      <c r="C41" s="6"/>
      <c r="D41" s="1" t="s">
        <v>124</v>
      </c>
      <c r="E41" s="3" t="s">
        <v>142</v>
      </c>
      <c r="F41" s="3"/>
      <c r="G41" s="3">
        <v>1</v>
      </c>
      <c r="H41" s="3"/>
      <c r="I41" s="3"/>
      <c r="J41" s="8"/>
    </row>
    <row r="42" spans="1:10">
      <c r="A42" s="6"/>
      <c r="B42" s="6" t="s">
        <v>143</v>
      </c>
      <c r="C42" s="8"/>
      <c r="D42" s="1" t="s">
        <v>124</v>
      </c>
      <c r="E42" s="3" t="s">
        <v>144</v>
      </c>
      <c r="F42" s="8"/>
      <c r="G42" s="5">
        <v>1</v>
      </c>
      <c r="H42" s="8"/>
      <c r="I42" s="8"/>
      <c r="J42" s="8"/>
    </row>
    <row r="43" spans="1:10">
      <c r="A43" s="6"/>
      <c r="B43" s="6" t="s">
        <v>145</v>
      </c>
      <c r="C43" s="6"/>
      <c r="D43" s="1" t="s">
        <v>124</v>
      </c>
      <c r="E43" s="3" t="s">
        <v>1</v>
      </c>
      <c r="F43" s="1">
        <v>1</v>
      </c>
      <c r="G43" s="5">
        <v>1</v>
      </c>
      <c r="H43" s="8"/>
      <c r="I43" s="8"/>
      <c r="J43" s="8"/>
    </row>
    <row r="44" spans="1:10">
      <c r="A44" s="6"/>
      <c r="B44" s="6" t="s">
        <v>146</v>
      </c>
      <c r="C44" s="6"/>
      <c r="D44" s="1" t="s">
        <v>124</v>
      </c>
      <c r="E44" s="3" t="s">
        <v>24</v>
      </c>
      <c r="F44" s="1">
        <v>1</v>
      </c>
      <c r="G44" s="5">
        <v>1</v>
      </c>
      <c r="H44" s="8"/>
      <c r="I44" s="8"/>
      <c r="J44" s="8"/>
    </row>
    <row r="45" spans="1:10">
      <c r="A45" s="6"/>
      <c r="B45" s="6" t="s">
        <v>147</v>
      </c>
      <c r="C45" s="8"/>
      <c r="D45" s="1" t="s">
        <v>124</v>
      </c>
      <c r="E45" s="3" t="s">
        <v>150</v>
      </c>
      <c r="F45" s="8"/>
      <c r="G45" s="12"/>
      <c r="H45" s="8"/>
      <c r="I45" s="8"/>
      <c r="J45" s="8"/>
    </row>
    <row r="46" spans="1:10">
      <c r="A46" s="6"/>
      <c r="B46" s="6" t="s">
        <v>151</v>
      </c>
      <c r="C46" s="8"/>
      <c r="D46" s="1" t="s">
        <v>124</v>
      </c>
      <c r="E46" s="3" t="s">
        <v>154</v>
      </c>
      <c r="F46" s="8"/>
      <c r="G46" s="5">
        <v>1</v>
      </c>
      <c r="H46" s="8"/>
      <c r="I46" s="8"/>
      <c r="J46" s="8"/>
    </row>
    <row r="47" spans="1:10">
      <c r="A47" s="6"/>
      <c r="B47" s="6" t="s">
        <v>155</v>
      </c>
      <c r="C47" s="8"/>
      <c r="D47" s="1" t="s">
        <v>124</v>
      </c>
      <c r="E47" s="3" t="s">
        <v>25</v>
      </c>
      <c r="F47" s="1">
        <v>1</v>
      </c>
      <c r="G47" s="5">
        <v>1</v>
      </c>
      <c r="H47" s="1"/>
      <c r="I47" s="1"/>
      <c r="J47" s="8"/>
    </row>
    <row r="48" spans="1:10">
      <c r="A48" s="6"/>
      <c r="B48" s="6" t="s">
        <v>157</v>
      </c>
      <c r="C48" s="6"/>
      <c r="D48" s="1" t="s">
        <v>124</v>
      </c>
      <c r="E48" s="3" t="s">
        <v>161</v>
      </c>
      <c r="F48" s="3"/>
      <c r="G48" s="3">
        <v>1</v>
      </c>
      <c r="H48" s="3"/>
      <c r="I48" s="3"/>
      <c r="J48" s="8"/>
    </row>
    <row r="49" spans="1:10">
      <c r="A49" s="6"/>
      <c r="B49" s="6" t="s">
        <v>162</v>
      </c>
      <c r="C49" s="6"/>
      <c r="D49" s="1" t="s">
        <v>124</v>
      </c>
      <c r="E49" s="3" t="s">
        <v>164</v>
      </c>
      <c r="F49" s="1"/>
      <c r="G49" s="5">
        <v>1</v>
      </c>
      <c r="H49" s="1"/>
      <c r="I49" s="11" t="s">
        <v>165</v>
      </c>
      <c r="J49" s="8"/>
    </row>
    <row r="50" spans="1:10">
      <c r="A50" s="6"/>
      <c r="B50" s="6" t="s">
        <v>167</v>
      </c>
      <c r="C50" s="8"/>
      <c r="D50" s="1" t="s">
        <v>124</v>
      </c>
      <c r="E50" s="3" t="s">
        <v>168</v>
      </c>
      <c r="F50" s="1">
        <v>1</v>
      </c>
      <c r="G50" s="5">
        <v>1</v>
      </c>
      <c r="H50" s="8"/>
      <c r="I50" s="8"/>
      <c r="J50" s="8"/>
    </row>
    <row r="51" spans="1:10">
      <c r="A51" s="6"/>
      <c r="B51" s="6" t="s">
        <v>170</v>
      </c>
      <c r="C51" s="6"/>
      <c r="D51" s="1" t="s">
        <v>124</v>
      </c>
      <c r="E51" s="3" t="s">
        <v>171</v>
      </c>
      <c r="F51" s="1">
        <v>1</v>
      </c>
      <c r="G51" s="12"/>
      <c r="H51" s="8"/>
      <c r="I51" s="8"/>
      <c r="J51" s="8"/>
    </row>
    <row r="52" spans="1:10">
      <c r="A52" s="6"/>
      <c r="B52" s="6" t="s">
        <v>172</v>
      </c>
      <c r="C52" s="6"/>
      <c r="D52" s="1" t="s">
        <v>124</v>
      </c>
      <c r="E52" s="3" t="s">
        <v>173</v>
      </c>
      <c r="F52" s="1">
        <v>1</v>
      </c>
      <c r="G52" s="5">
        <v>1</v>
      </c>
      <c r="H52" s="1"/>
      <c r="I52" s="11" t="s">
        <v>174</v>
      </c>
      <c r="J52" s="8"/>
    </row>
    <row r="53" spans="1:10">
      <c r="A53" s="6"/>
      <c r="B53" s="6" t="s">
        <v>176</v>
      </c>
      <c r="C53" s="6"/>
      <c r="D53" s="1" t="s">
        <v>124</v>
      </c>
      <c r="E53" s="3" t="s">
        <v>178</v>
      </c>
      <c r="F53" s="1">
        <v>1</v>
      </c>
      <c r="G53" s="5"/>
      <c r="H53" s="1"/>
      <c r="I53" s="11" t="s">
        <v>179</v>
      </c>
      <c r="J53" s="8"/>
    </row>
    <row r="54" spans="1:10">
      <c r="A54" s="6"/>
      <c r="B54" s="6" t="s">
        <v>180</v>
      </c>
      <c r="C54" s="8"/>
      <c r="D54" s="1" t="s">
        <v>124</v>
      </c>
      <c r="E54" s="3" t="s">
        <v>1</v>
      </c>
      <c r="F54" s="1">
        <v>1</v>
      </c>
      <c r="G54" s="5">
        <v>1</v>
      </c>
      <c r="H54" s="8"/>
      <c r="I54" s="8"/>
      <c r="J54" s="8"/>
    </row>
    <row r="55" spans="1:10">
      <c r="A55" s="6"/>
      <c r="B55" s="6" t="s">
        <v>182</v>
      </c>
      <c r="C55" s="6"/>
      <c r="D55" s="1" t="s">
        <v>124</v>
      </c>
      <c r="E55" s="3" t="s">
        <v>184</v>
      </c>
      <c r="F55" s="8"/>
      <c r="G55" s="5">
        <v>1</v>
      </c>
      <c r="H55" s="8"/>
      <c r="I55" s="8"/>
      <c r="J55" s="8"/>
    </row>
    <row r="56" spans="1:10">
      <c r="A56" s="6"/>
      <c r="B56" s="6" t="s">
        <v>185</v>
      </c>
      <c r="C56" s="6"/>
      <c r="D56" s="1" t="s">
        <v>124</v>
      </c>
      <c r="E56" s="3" t="s">
        <v>186</v>
      </c>
      <c r="F56" s="1"/>
      <c r="G56" s="5"/>
      <c r="H56" s="1"/>
      <c r="I56" s="11" t="s">
        <v>188</v>
      </c>
      <c r="J56" s="1"/>
    </row>
    <row r="57" spans="1:10">
      <c r="A57" s="6"/>
      <c r="B57" s="6" t="s">
        <v>189</v>
      </c>
      <c r="C57" s="8"/>
      <c r="D57" s="1" t="s">
        <v>124</v>
      </c>
      <c r="E57" s="3" t="s">
        <v>1</v>
      </c>
      <c r="F57" s="1">
        <v>1</v>
      </c>
      <c r="G57" s="5">
        <v>1</v>
      </c>
      <c r="H57" s="1"/>
      <c r="I57" s="11" t="s">
        <v>192</v>
      </c>
      <c r="J57" s="1"/>
    </row>
    <row r="58" spans="1:10" ht="15.75" customHeight="1">
      <c r="A58" s="16"/>
      <c r="B58" s="16" t="s">
        <v>194</v>
      </c>
      <c r="D58" s="2" t="s">
        <v>196</v>
      </c>
      <c r="E58" s="15" t="s">
        <v>197</v>
      </c>
      <c r="G58" s="17">
        <v>1</v>
      </c>
    </row>
    <row r="59" spans="1:10" ht="15.75" customHeight="1">
      <c r="A59" s="16"/>
      <c r="B59" s="16" t="s">
        <v>198</v>
      </c>
      <c r="D59" s="2" t="s">
        <v>196</v>
      </c>
      <c r="E59" s="15" t="s">
        <v>199</v>
      </c>
      <c r="F59" s="2"/>
      <c r="G59" s="17">
        <v>1</v>
      </c>
      <c r="H59" s="2"/>
      <c r="I59" s="14" t="s">
        <v>200</v>
      </c>
    </row>
    <row r="60" spans="1:10" ht="15.75" customHeight="1">
      <c r="A60" s="16"/>
      <c r="B60" s="16" t="s">
        <v>202</v>
      </c>
      <c r="D60" s="2" t="s">
        <v>196</v>
      </c>
      <c r="E60" s="15" t="s">
        <v>26</v>
      </c>
      <c r="F60" s="2">
        <v>1</v>
      </c>
      <c r="G60" s="17">
        <v>1</v>
      </c>
    </row>
    <row r="61" spans="1:10" ht="15.75" customHeight="1">
      <c r="A61" s="16"/>
      <c r="B61" s="16" t="s">
        <v>203</v>
      </c>
      <c r="D61" s="2" t="s">
        <v>196</v>
      </c>
      <c r="E61" s="15" t="s">
        <v>205</v>
      </c>
      <c r="G61" s="17">
        <v>1</v>
      </c>
      <c r="J61" s="2" t="s">
        <v>206</v>
      </c>
    </row>
    <row r="62" spans="1:10" ht="15.75" customHeight="1">
      <c r="A62" s="16"/>
      <c r="B62" s="16" t="s">
        <v>207</v>
      </c>
      <c r="D62" s="2" t="s">
        <v>196</v>
      </c>
      <c r="E62" s="15" t="s">
        <v>201</v>
      </c>
      <c r="F62" s="2">
        <v>1</v>
      </c>
      <c r="G62" s="17">
        <v>1</v>
      </c>
    </row>
    <row r="63" spans="1:10" ht="15.75" customHeight="1">
      <c r="A63" s="16"/>
      <c r="B63" s="16" t="s">
        <v>210</v>
      </c>
      <c r="D63" s="2" t="s">
        <v>196</v>
      </c>
      <c r="E63" s="15" t="s">
        <v>212</v>
      </c>
      <c r="G63" s="17">
        <v>1</v>
      </c>
    </row>
    <row r="64" spans="1:10" ht="15.75" customHeight="1">
      <c r="A64" s="16"/>
      <c r="B64" s="16" t="s">
        <v>213</v>
      </c>
      <c r="D64" s="2" t="s">
        <v>196</v>
      </c>
      <c r="E64" s="15" t="s">
        <v>214</v>
      </c>
      <c r="F64" s="2">
        <v>1</v>
      </c>
      <c r="G64" s="17">
        <v>1</v>
      </c>
    </row>
    <row r="65" spans="1:10" ht="15.75" customHeight="1">
      <c r="A65" s="16"/>
      <c r="B65" s="16" t="s">
        <v>215</v>
      </c>
      <c r="D65" s="2" t="s">
        <v>196</v>
      </c>
      <c r="E65" s="15" t="s">
        <v>216</v>
      </c>
      <c r="F65" s="2">
        <v>1</v>
      </c>
      <c r="G65" s="18"/>
    </row>
    <row r="66" spans="1:10" ht="15.75" customHeight="1">
      <c r="A66" s="16"/>
      <c r="B66" s="16" t="s">
        <v>217</v>
      </c>
      <c r="D66" s="2" t="s">
        <v>196</v>
      </c>
      <c r="E66" s="15" t="s">
        <v>201</v>
      </c>
      <c r="F66" s="2">
        <v>1</v>
      </c>
      <c r="G66" s="17">
        <v>1</v>
      </c>
    </row>
    <row r="67" spans="1:10" ht="15.75" customHeight="1">
      <c r="A67" s="16"/>
      <c r="B67" s="16" t="s">
        <v>218</v>
      </c>
      <c r="D67" s="2" t="s">
        <v>196</v>
      </c>
      <c r="E67" s="15" t="s">
        <v>219</v>
      </c>
      <c r="F67" s="2">
        <v>1</v>
      </c>
      <c r="G67" s="18"/>
    </row>
    <row r="68" spans="1:10" ht="15.75" customHeight="1">
      <c r="A68" s="16"/>
      <c r="B68" s="16" t="s">
        <v>220</v>
      </c>
      <c r="D68" s="2" t="s">
        <v>196</v>
      </c>
      <c r="E68" s="15" t="s">
        <v>221</v>
      </c>
      <c r="G68" s="17">
        <v>1</v>
      </c>
    </row>
    <row r="69" spans="1:10" ht="15.75" customHeight="1">
      <c r="A69" s="16"/>
      <c r="B69" s="16" t="s">
        <v>222</v>
      </c>
      <c r="D69" s="2" t="s">
        <v>196</v>
      </c>
      <c r="E69" s="15" t="s">
        <v>221</v>
      </c>
      <c r="G69" s="17">
        <v>1</v>
      </c>
    </row>
    <row r="70" spans="1:10" ht="15.75" customHeight="1">
      <c r="A70" s="16"/>
      <c r="B70" s="16" t="s">
        <v>223</v>
      </c>
      <c r="D70" s="2" t="s">
        <v>196</v>
      </c>
      <c r="E70" s="15" t="s">
        <v>224</v>
      </c>
      <c r="G70" s="18"/>
      <c r="J70" s="2" t="s">
        <v>225</v>
      </c>
    </row>
    <row r="71" spans="1:10" ht="15.75" customHeight="1">
      <c r="A71" s="16"/>
      <c r="B71" s="16" t="s">
        <v>226</v>
      </c>
      <c r="D71" s="2" t="s">
        <v>196</v>
      </c>
      <c r="E71" s="15" t="s">
        <v>153</v>
      </c>
      <c r="G71" s="18"/>
    </row>
    <row r="72" spans="1:10" ht="15.75" customHeight="1">
      <c r="A72" s="16"/>
      <c r="B72" s="16" t="s">
        <v>227</v>
      </c>
      <c r="D72" s="2" t="s">
        <v>196</v>
      </c>
      <c r="E72" s="19"/>
      <c r="F72" s="2"/>
      <c r="G72" s="17"/>
      <c r="H72" s="2"/>
      <c r="I72" s="14" t="s">
        <v>228</v>
      </c>
      <c r="J72" s="2" t="s">
        <v>229</v>
      </c>
    </row>
    <row r="73" spans="1:10" ht="15.75" customHeight="1">
      <c r="A73" s="16"/>
      <c r="B73" s="16" t="s">
        <v>230</v>
      </c>
      <c r="D73" s="2" t="s">
        <v>196</v>
      </c>
      <c r="E73" s="15" t="s">
        <v>231</v>
      </c>
      <c r="F73" s="2">
        <v>1</v>
      </c>
      <c r="G73" s="17">
        <v>1</v>
      </c>
      <c r="H73" s="2"/>
      <c r="I73" s="2" t="s">
        <v>232</v>
      </c>
    </row>
    <row r="74" spans="1:10" ht="15.75" customHeight="1">
      <c r="A74" s="16"/>
      <c r="B74" s="16" t="s">
        <v>233</v>
      </c>
      <c r="D74" s="2" t="s">
        <v>196</v>
      </c>
      <c r="E74" s="15" t="s">
        <v>141</v>
      </c>
      <c r="F74" s="2">
        <v>1</v>
      </c>
      <c r="G74" s="18"/>
    </row>
    <row r="75" spans="1:10" ht="15.75" customHeight="1">
      <c r="A75" s="16"/>
      <c r="B75" s="16" t="s">
        <v>234</v>
      </c>
      <c r="D75" s="2" t="s">
        <v>196</v>
      </c>
      <c r="E75" s="15" t="s">
        <v>235</v>
      </c>
      <c r="F75" s="2">
        <v>1</v>
      </c>
      <c r="G75" s="18"/>
    </row>
    <row r="76" spans="1:10" ht="15.75" customHeight="1">
      <c r="A76" s="16"/>
      <c r="B76" s="16" t="s">
        <v>236</v>
      </c>
      <c r="D76" s="2" t="s">
        <v>196</v>
      </c>
      <c r="E76" s="15" t="s">
        <v>237</v>
      </c>
      <c r="G76" s="18"/>
    </row>
    <row r="77" spans="1:10" ht="15.75" customHeight="1">
      <c r="A77" s="16"/>
      <c r="B77" s="16" t="s">
        <v>238</v>
      </c>
      <c r="D77" s="2" t="s">
        <v>196</v>
      </c>
      <c r="E77" s="15" t="s">
        <v>239</v>
      </c>
      <c r="F77" s="2">
        <v>1</v>
      </c>
      <c r="G77" s="18"/>
    </row>
    <row r="78" spans="1:10" ht="15.75" customHeight="1">
      <c r="A78" s="16"/>
      <c r="B78" s="16" t="s">
        <v>240</v>
      </c>
      <c r="D78" s="2" t="s">
        <v>196</v>
      </c>
      <c r="E78" s="15" t="s">
        <v>241</v>
      </c>
      <c r="G78" s="18"/>
    </row>
    <row r="79" spans="1:10" ht="15.75" customHeight="1">
      <c r="B79" s="2" t="s">
        <v>242</v>
      </c>
      <c r="C79" s="14" t="s">
        <v>243</v>
      </c>
      <c r="D79" s="2" t="s">
        <v>244</v>
      </c>
      <c r="E79" s="20" t="s">
        <v>245</v>
      </c>
      <c r="F79" s="2">
        <v>1</v>
      </c>
      <c r="G79" s="17">
        <v>1</v>
      </c>
      <c r="J79" s="2" t="s">
        <v>246</v>
      </c>
    </row>
    <row r="80" spans="1:10" ht="15.75" customHeight="1">
      <c r="B80" s="21" t="s">
        <v>247</v>
      </c>
      <c r="C80" s="14" t="s">
        <v>248</v>
      </c>
      <c r="D80" s="2" t="s">
        <v>244</v>
      </c>
      <c r="E80" s="19"/>
      <c r="G80" s="18"/>
    </row>
    <row r="81" spans="2:10" ht="15.75" customHeight="1">
      <c r="B81" s="2" t="s">
        <v>249</v>
      </c>
      <c r="C81" s="14" t="s">
        <v>250</v>
      </c>
      <c r="D81" s="2" t="s">
        <v>244</v>
      </c>
      <c r="E81" s="15" t="s">
        <v>251</v>
      </c>
      <c r="F81" s="2">
        <v>0</v>
      </c>
      <c r="G81" s="18"/>
    </row>
    <row r="82" spans="2:10" ht="15.75" customHeight="1">
      <c r="B82" s="21" t="s">
        <v>252</v>
      </c>
      <c r="C82" s="14" t="s">
        <v>253</v>
      </c>
      <c r="D82" s="2" t="s">
        <v>244</v>
      </c>
      <c r="E82" s="15" t="s">
        <v>254</v>
      </c>
      <c r="F82" s="2">
        <v>1</v>
      </c>
      <c r="G82" s="18"/>
      <c r="I82" s="14" t="s">
        <v>255</v>
      </c>
    </row>
    <row r="83" spans="2:10" ht="15.75" customHeight="1">
      <c r="B83" s="21" t="s">
        <v>256</v>
      </c>
      <c r="C83" s="14" t="s">
        <v>257</v>
      </c>
      <c r="D83" s="2" t="s">
        <v>244</v>
      </c>
      <c r="E83" s="15" t="s">
        <v>129</v>
      </c>
      <c r="F83" s="2">
        <v>1</v>
      </c>
      <c r="G83" s="17">
        <v>1</v>
      </c>
    </row>
    <row r="84" spans="2:10" ht="15.75" customHeight="1">
      <c r="B84" s="21" t="s">
        <v>258</v>
      </c>
      <c r="C84" s="14" t="s">
        <v>259</v>
      </c>
      <c r="D84" s="2" t="s">
        <v>244</v>
      </c>
      <c r="E84" s="15" t="s">
        <v>156</v>
      </c>
      <c r="G84" s="17">
        <v>1</v>
      </c>
      <c r="J84" s="2" t="s">
        <v>260</v>
      </c>
    </row>
    <row r="85" spans="2:10" ht="15.75" customHeight="1">
      <c r="B85" s="21" t="s">
        <v>261</v>
      </c>
      <c r="C85" s="14" t="s">
        <v>262</v>
      </c>
      <c r="D85" s="2" t="s">
        <v>244</v>
      </c>
      <c r="E85" s="15" t="s">
        <v>263</v>
      </c>
      <c r="G85" s="17">
        <v>1</v>
      </c>
    </row>
    <row r="86" spans="2:10" ht="15.75" customHeight="1">
      <c r="B86" s="21" t="s">
        <v>264</v>
      </c>
      <c r="C86" s="14" t="s">
        <v>265</v>
      </c>
      <c r="D86" s="2" t="s">
        <v>244</v>
      </c>
      <c r="E86" s="15" t="s">
        <v>201</v>
      </c>
      <c r="F86" s="2">
        <v>1</v>
      </c>
      <c r="G86" s="17">
        <v>1</v>
      </c>
    </row>
    <row r="87" spans="2:10" ht="15.75" customHeight="1">
      <c r="B87" s="21" t="s">
        <v>266</v>
      </c>
      <c r="C87" s="14" t="s">
        <v>267</v>
      </c>
      <c r="D87" s="2" t="s">
        <v>244</v>
      </c>
      <c r="E87" s="15" t="s">
        <v>268</v>
      </c>
      <c r="F87" s="2">
        <v>1</v>
      </c>
      <c r="G87" s="17">
        <v>1</v>
      </c>
    </row>
    <row r="88" spans="2:10" ht="15.75" customHeight="1">
      <c r="B88" s="21" t="s">
        <v>269</v>
      </c>
      <c r="C88" s="14" t="s">
        <v>270</v>
      </c>
      <c r="D88" s="2" t="s">
        <v>244</v>
      </c>
      <c r="E88" s="15" t="s">
        <v>271</v>
      </c>
      <c r="G88" s="18"/>
    </row>
    <row r="89" spans="2:10" ht="15.75" customHeight="1">
      <c r="B89" s="21" t="s">
        <v>272</v>
      </c>
      <c r="C89" s="14" t="s">
        <v>273</v>
      </c>
      <c r="D89" s="2" t="s">
        <v>244</v>
      </c>
      <c r="E89" s="20" t="s">
        <v>274</v>
      </c>
      <c r="F89" s="2">
        <v>1</v>
      </c>
      <c r="G89" s="17">
        <v>1</v>
      </c>
    </row>
    <row r="90" spans="2:10" ht="15.75" customHeight="1">
      <c r="B90" s="21" t="s">
        <v>275</v>
      </c>
      <c r="C90" s="14" t="s">
        <v>276</v>
      </c>
      <c r="D90" s="2" t="s">
        <v>244</v>
      </c>
      <c r="E90" s="2" t="s">
        <v>277</v>
      </c>
      <c r="F90" s="2">
        <v>1</v>
      </c>
      <c r="G90" s="17">
        <v>1</v>
      </c>
      <c r="I90" s="14" t="s">
        <v>278</v>
      </c>
    </row>
    <row r="91" spans="2:10" ht="15.75" customHeight="1">
      <c r="B91" s="21" t="s">
        <v>279</v>
      </c>
      <c r="C91" s="14" t="s">
        <v>280</v>
      </c>
      <c r="D91" s="2" t="s">
        <v>244</v>
      </c>
      <c r="E91" s="15" t="s">
        <v>281</v>
      </c>
      <c r="F91" s="2" t="s">
        <v>78</v>
      </c>
      <c r="G91" s="17" t="s">
        <v>78</v>
      </c>
      <c r="J91" s="2" t="s">
        <v>282</v>
      </c>
    </row>
    <row r="92" spans="2:10" ht="15.75" customHeight="1">
      <c r="B92" s="21" t="s">
        <v>283</v>
      </c>
      <c r="C92" s="14" t="s">
        <v>284</v>
      </c>
      <c r="D92" s="2" t="s">
        <v>244</v>
      </c>
      <c r="E92" s="15" t="s">
        <v>201</v>
      </c>
      <c r="F92" s="2">
        <v>1</v>
      </c>
      <c r="G92" s="17">
        <v>1</v>
      </c>
    </row>
    <row r="93" spans="2:10" ht="15.75" customHeight="1">
      <c r="B93" s="21" t="s">
        <v>285</v>
      </c>
      <c r="C93" s="14" t="s">
        <v>286</v>
      </c>
      <c r="D93" s="2" t="s">
        <v>244</v>
      </c>
      <c r="E93" s="15" t="s">
        <v>201</v>
      </c>
      <c r="F93" s="2">
        <v>1</v>
      </c>
      <c r="G93" s="17">
        <v>1</v>
      </c>
    </row>
    <row r="94" spans="2:10" ht="15.75" customHeight="1">
      <c r="B94" s="21" t="s">
        <v>287</v>
      </c>
      <c r="C94" s="14" t="s">
        <v>288</v>
      </c>
      <c r="D94" s="2" t="s">
        <v>244</v>
      </c>
      <c r="E94" s="15" t="s">
        <v>290</v>
      </c>
      <c r="G94" s="18"/>
    </row>
    <row r="95" spans="2:10" ht="15.75" customHeight="1">
      <c r="B95" s="21" t="s">
        <v>291</v>
      </c>
      <c r="C95" s="14" t="s">
        <v>292</v>
      </c>
      <c r="D95" s="2" t="s">
        <v>244</v>
      </c>
      <c r="E95" s="15" t="s">
        <v>293</v>
      </c>
      <c r="G95" s="17">
        <v>1</v>
      </c>
      <c r="I95" s="14" t="s">
        <v>294</v>
      </c>
    </row>
    <row r="96" spans="2:10" ht="15.75" customHeight="1">
      <c r="B96" s="21" t="s">
        <v>295</v>
      </c>
      <c r="C96" s="14" t="s">
        <v>296</v>
      </c>
      <c r="D96" s="2" t="s">
        <v>244</v>
      </c>
      <c r="E96" s="15" t="s">
        <v>297</v>
      </c>
      <c r="F96" s="2">
        <v>1</v>
      </c>
      <c r="G96" s="17">
        <v>1</v>
      </c>
    </row>
    <row r="97" spans="2:7" ht="15.75" customHeight="1">
      <c r="B97" s="21" t="s">
        <v>298</v>
      </c>
      <c r="C97" s="14" t="s">
        <v>299</v>
      </c>
      <c r="D97" s="2" t="s">
        <v>244</v>
      </c>
      <c r="E97" s="2" t="s">
        <v>300</v>
      </c>
      <c r="F97" s="2">
        <v>1</v>
      </c>
      <c r="G97" s="18"/>
    </row>
    <row r="98" spans="2:7" ht="15.75" customHeight="1">
      <c r="B98" s="21" t="s">
        <v>301</v>
      </c>
      <c r="C98" s="14" t="s">
        <v>302</v>
      </c>
      <c r="D98" s="2" t="s">
        <v>244</v>
      </c>
      <c r="E98" s="15" t="s">
        <v>304</v>
      </c>
      <c r="F98" s="2">
        <v>1</v>
      </c>
      <c r="G98" s="18"/>
    </row>
    <row r="99" spans="2:7" ht="15.75" customHeight="1">
      <c r="B99" s="21" t="s">
        <v>305</v>
      </c>
      <c r="C99" s="14" t="s">
        <v>306</v>
      </c>
      <c r="D99" s="2" t="s">
        <v>244</v>
      </c>
      <c r="E99" s="15" t="s">
        <v>307</v>
      </c>
      <c r="F99" s="2" t="s">
        <v>78</v>
      </c>
      <c r="G99" s="18"/>
    </row>
    <row r="100" spans="2:7" ht="15.75" customHeight="1">
      <c r="B100" s="21" t="s">
        <v>308</v>
      </c>
      <c r="C100" s="14" t="s">
        <v>309</v>
      </c>
      <c r="D100" s="2" t="s">
        <v>244</v>
      </c>
      <c r="E100" s="15" t="s">
        <v>310</v>
      </c>
      <c r="G100" s="18"/>
    </row>
    <row r="101" spans="2:7" ht="15.75" customHeight="1">
      <c r="B101" s="21" t="s">
        <v>311</v>
      </c>
      <c r="C101" s="14" t="s">
        <v>312</v>
      </c>
      <c r="D101" s="2" t="s">
        <v>244</v>
      </c>
      <c r="E101" s="15" t="s">
        <v>313</v>
      </c>
      <c r="F101" s="2">
        <v>1</v>
      </c>
      <c r="G101" s="17">
        <v>1</v>
      </c>
    </row>
    <row r="102" spans="2:7" ht="15.75" customHeight="1">
      <c r="B102" s="21" t="s">
        <v>314</v>
      </c>
      <c r="C102" s="14" t="s">
        <v>315</v>
      </c>
      <c r="D102" s="2" t="s">
        <v>244</v>
      </c>
      <c r="E102" s="2" t="s">
        <v>316</v>
      </c>
      <c r="F102" s="2">
        <v>1</v>
      </c>
      <c r="G102" s="18"/>
    </row>
    <row r="103" spans="2:7" ht="15.75" customHeight="1">
      <c r="B103" s="21" t="s">
        <v>317</v>
      </c>
      <c r="C103" s="14" t="s">
        <v>318</v>
      </c>
      <c r="D103" s="2" t="s">
        <v>244</v>
      </c>
      <c r="E103" s="20" t="s">
        <v>320</v>
      </c>
      <c r="G103" s="17">
        <v>1</v>
      </c>
    </row>
    <row r="104" spans="2:7" ht="15.75" customHeight="1">
      <c r="E104" s="19"/>
      <c r="G104" s="18"/>
    </row>
    <row r="105" spans="2:7" ht="15.75" customHeight="1">
      <c r="E105" s="19"/>
      <c r="G105" s="18"/>
    </row>
    <row r="106" spans="2:7" ht="15.75" customHeight="1">
      <c r="E106" s="19"/>
      <c r="G106" s="18"/>
    </row>
    <row r="107" spans="2:7" ht="15.75" customHeight="1">
      <c r="E107" s="19"/>
      <c r="G107" s="18"/>
    </row>
    <row r="108" spans="2:7" ht="15.75" customHeight="1">
      <c r="E108" s="19"/>
      <c r="G108" s="18"/>
    </row>
    <row r="109" spans="2:7" ht="15.75" customHeight="1">
      <c r="E109" s="19"/>
      <c r="G109" s="18"/>
    </row>
    <row r="110" spans="2:7" ht="15.75" customHeight="1">
      <c r="E110" s="19"/>
      <c r="G110" s="18"/>
    </row>
    <row r="111" spans="2:7" ht="15.75" customHeight="1">
      <c r="E111" s="19"/>
      <c r="G111" s="18"/>
    </row>
    <row r="112" spans="2:7" ht="15.75" customHeight="1">
      <c r="E112" s="19"/>
      <c r="G112" s="18"/>
    </row>
    <row r="113" spans="5:7" ht="15.75" customHeight="1">
      <c r="E113" s="19"/>
      <c r="G113" s="18"/>
    </row>
    <row r="114" spans="5:7" ht="15.75" customHeight="1">
      <c r="E114" s="19"/>
      <c r="G114" s="18"/>
    </row>
    <row r="115" spans="5:7" ht="15.75" customHeight="1">
      <c r="E115" s="19"/>
      <c r="G115" s="18"/>
    </row>
    <row r="116" spans="5:7" ht="15.75" customHeight="1">
      <c r="E116" s="19"/>
      <c r="G116" s="18"/>
    </row>
    <row r="117" spans="5:7" ht="15.75" customHeight="1">
      <c r="E117" s="19"/>
      <c r="G117" s="18"/>
    </row>
    <row r="118" spans="5:7" ht="15.75" customHeight="1">
      <c r="E118" s="19"/>
      <c r="G118" s="18"/>
    </row>
    <row r="119" spans="5:7" ht="15.75" customHeight="1">
      <c r="E119" s="19"/>
      <c r="G119" s="18"/>
    </row>
    <row r="120" spans="5:7" ht="15.75" customHeight="1">
      <c r="E120" s="19"/>
      <c r="G120" s="18"/>
    </row>
    <row r="121" spans="5:7" ht="15.75" customHeight="1">
      <c r="E121" s="19"/>
      <c r="G121" s="18"/>
    </row>
    <row r="122" spans="5:7" ht="15.75" customHeight="1">
      <c r="E122" s="19"/>
      <c r="G122" s="18"/>
    </row>
    <row r="123" spans="5:7" ht="15.75" customHeight="1">
      <c r="E123" s="19"/>
      <c r="G123" s="18"/>
    </row>
    <row r="124" spans="5:7" ht="15.75" customHeight="1">
      <c r="E124" s="19"/>
      <c r="G124" s="18"/>
    </row>
    <row r="125" spans="5:7" ht="15.75" customHeight="1">
      <c r="E125" s="19"/>
      <c r="G125" s="18"/>
    </row>
    <row r="126" spans="5:7" ht="15.75" customHeight="1">
      <c r="E126" s="19"/>
      <c r="G126" s="18"/>
    </row>
    <row r="127" spans="5:7" ht="15.75" customHeight="1">
      <c r="E127" s="19"/>
      <c r="G127" s="18"/>
    </row>
    <row r="128" spans="5:7" ht="15.75" customHeight="1">
      <c r="E128" s="19"/>
      <c r="G128" s="18"/>
    </row>
    <row r="129" spans="5:7" ht="15.75" customHeight="1">
      <c r="E129" s="19"/>
      <c r="G129" s="18"/>
    </row>
    <row r="130" spans="5:7" ht="15.75" customHeight="1">
      <c r="E130" s="19"/>
      <c r="G130" s="18"/>
    </row>
    <row r="131" spans="5:7" ht="15.75" customHeight="1">
      <c r="E131" s="19"/>
      <c r="G131" s="18"/>
    </row>
    <row r="132" spans="5:7" ht="15.75" customHeight="1">
      <c r="E132" s="19"/>
      <c r="G132" s="18"/>
    </row>
    <row r="133" spans="5:7" ht="15.75" customHeight="1">
      <c r="E133" s="19"/>
      <c r="G133" s="18"/>
    </row>
    <row r="134" spans="5:7" ht="15.75" customHeight="1">
      <c r="E134" s="19"/>
      <c r="G134" s="18"/>
    </row>
    <row r="135" spans="5:7" ht="15.75" customHeight="1">
      <c r="E135" s="19"/>
      <c r="G135" s="18"/>
    </row>
    <row r="136" spans="5:7" ht="15.75" customHeight="1">
      <c r="E136" s="19"/>
      <c r="G136" s="18"/>
    </row>
    <row r="137" spans="5:7" ht="15.75" customHeight="1">
      <c r="E137" s="19"/>
      <c r="G137" s="18"/>
    </row>
    <row r="138" spans="5:7" ht="15.75" customHeight="1">
      <c r="E138" s="19"/>
      <c r="G138" s="18"/>
    </row>
    <row r="139" spans="5:7" ht="15.75" customHeight="1">
      <c r="E139" s="19"/>
      <c r="G139" s="18"/>
    </row>
    <row r="140" spans="5:7" ht="15.75" customHeight="1">
      <c r="E140" s="19"/>
      <c r="G140" s="18"/>
    </row>
    <row r="141" spans="5:7" ht="15.75" customHeight="1">
      <c r="E141" s="19"/>
      <c r="G141" s="18"/>
    </row>
    <row r="142" spans="5:7" ht="15.75" customHeight="1">
      <c r="E142" s="19"/>
      <c r="G142" s="18"/>
    </row>
    <row r="143" spans="5:7" ht="15.75" customHeight="1">
      <c r="E143" s="19"/>
      <c r="G143" s="18"/>
    </row>
    <row r="144" spans="5:7" ht="15.75" customHeight="1">
      <c r="E144" s="19"/>
      <c r="G144" s="18"/>
    </row>
    <row r="145" spans="5:7" ht="15.75" customHeight="1">
      <c r="E145" s="19"/>
      <c r="G145" s="18"/>
    </row>
    <row r="146" spans="5:7" ht="15.75" customHeight="1">
      <c r="E146" s="19"/>
      <c r="G146" s="18"/>
    </row>
    <row r="147" spans="5:7" ht="15.75" customHeight="1">
      <c r="E147" s="19"/>
      <c r="G147" s="18"/>
    </row>
    <row r="148" spans="5:7" ht="15.75" customHeight="1">
      <c r="E148" s="19"/>
      <c r="G148" s="18"/>
    </row>
    <row r="149" spans="5:7" ht="15.75" customHeight="1">
      <c r="E149" s="19"/>
      <c r="G149" s="18"/>
    </row>
    <row r="150" spans="5:7" ht="15.75" customHeight="1">
      <c r="E150" s="19"/>
      <c r="G150" s="18"/>
    </row>
    <row r="151" spans="5:7" ht="15.75" customHeight="1">
      <c r="E151" s="19"/>
      <c r="G151" s="18"/>
    </row>
    <row r="152" spans="5:7" ht="15.75" customHeight="1">
      <c r="E152" s="19"/>
      <c r="G152" s="18"/>
    </row>
    <row r="153" spans="5:7" ht="15.75" customHeight="1">
      <c r="E153" s="19"/>
      <c r="G153" s="18"/>
    </row>
    <row r="154" spans="5:7" ht="15.75" customHeight="1">
      <c r="E154" s="19"/>
      <c r="G154" s="18"/>
    </row>
    <row r="155" spans="5:7" ht="15.75" customHeight="1">
      <c r="E155" s="19"/>
      <c r="G155" s="18"/>
    </row>
    <row r="156" spans="5:7" ht="15.75" customHeight="1">
      <c r="E156" s="19"/>
      <c r="G156" s="18"/>
    </row>
    <row r="157" spans="5:7" ht="15.75" customHeight="1">
      <c r="E157" s="19"/>
      <c r="G157" s="18"/>
    </row>
    <row r="158" spans="5:7" ht="15.75" customHeight="1">
      <c r="E158" s="19"/>
      <c r="G158" s="18"/>
    </row>
    <row r="159" spans="5:7" ht="15.75" customHeight="1">
      <c r="E159" s="19"/>
      <c r="G159" s="18"/>
    </row>
    <row r="160" spans="5:7" ht="15.75" customHeight="1">
      <c r="E160" s="19"/>
      <c r="G160" s="18"/>
    </row>
    <row r="161" spans="5:7" ht="15.75" customHeight="1">
      <c r="E161" s="19"/>
      <c r="G161" s="18"/>
    </row>
    <row r="162" spans="5:7" ht="15.75" customHeight="1">
      <c r="E162" s="19"/>
      <c r="G162" s="18"/>
    </row>
    <row r="163" spans="5:7" ht="15.75" customHeight="1">
      <c r="E163" s="19"/>
      <c r="G163" s="18"/>
    </row>
    <row r="164" spans="5:7" ht="15.75" customHeight="1">
      <c r="E164" s="19"/>
      <c r="G164" s="18"/>
    </row>
    <row r="165" spans="5:7" ht="15.75" customHeight="1">
      <c r="E165" s="19"/>
      <c r="G165" s="18"/>
    </row>
    <row r="166" spans="5:7" ht="15.75" customHeight="1">
      <c r="E166" s="19"/>
      <c r="G166" s="18"/>
    </row>
    <row r="167" spans="5:7" ht="15.75" customHeight="1">
      <c r="E167" s="19"/>
      <c r="G167" s="18"/>
    </row>
    <row r="168" spans="5:7" ht="15.75" customHeight="1">
      <c r="E168" s="19"/>
      <c r="G168" s="18"/>
    </row>
    <row r="169" spans="5:7" ht="15.75" customHeight="1">
      <c r="E169" s="19"/>
      <c r="G169" s="18"/>
    </row>
    <row r="170" spans="5:7" ht="15.75" customHeight="1">
      <c r="E170" s="19"/>
      <c r="G170" s="18"/>
    </row>
    <row r="171" spans="5:7" ht="15.75" customHeight="1">
      <c r="E171" s="19"/>
      <c r="G171" s="18"/>
    </row>
    <row r="172" spans="5:7" ht="15.75" customHeight="1">
      <c r="E172" s="19"/>
      <c r="G172" s="18"/>
    </row>
    <row r="173" spans="5:7" ht="15.75" customHeight="1">
      <c r="E173" s="19"/>
      <c r="G173" s="18"/>
    </row>
    <row r="174" spans="5:7" ht="15.75" customHeight="1">
      <c r="E174" s="19"/>
      <c r="G174" s="18"/>
    </row>
    <row r="175" spans="5:7" ht="15.75" customHeight="1">
      <c r="E175" s="19"/>
      <c r="G175" s="18"/>
    </row>
    <row r="176" spans="5:7" ht="15.75" customHeight="1">
      <c r="E176" s="19"/>
      <c r="G176" s="18"/>
    </row>
    <row r="177" spans="5:7" ht="15.75" customHeight="1">
      <c r="E177" s="19"/>
      <c r="G177" s="18"/>
    </row>
    <row r="178" spans="5:7" ht="15.75" customHeight="1">
      <c r="E178" s="19"/>
      <c r="G178" s="18"/>
    </row>
    <row r="179" spans="5:7" ht="15.75" customHeight="1">
      <c r="E179" s="19"/>
      <c r="G179" s="18"/>
    </row>
    <row r="180" spans="5:7" ht="15.75" customHeight="1">
      <c r="E180" s="19"/>
      <c r="G180" s="18"/>
    </row>
    <row r="181" spans="5:7" ht="15.75" customHeight="1">
      <c r="E181" s="19"/>
      <c r="G181" s="18"/>
    </row>
    <row r="182" spans="5:7" ht="15.75" customHeight="1">
      <c r="E182" s="19"/>
      <c r="G182" s="18"/>
    </row>
    <row r="183" spans="5:7" ht="15.75" customHeight="1">
      <c r="E183" s="19"/>
      <c r="G183" s="18"/>
    </row>
    <row r="184" spans="5:7" ht="15.75" customHeight="1">
      <c r="E184" s="19"/>
      <c r="G184" s="18"/>
    </row>
    <row r="185" spans="5:7" ht="15.75" customHeight="1">
      <c r="E185" s="19"/>
      <c r="G185" s="18"/>
    </row>
    <row r="186" spans="5:7" ht="15.75" customHeight="1">
      <c r="E186" s="19"/>
      <c r="G186" s="18"/>
    </row>
    <row r="187" spans="5:7" ht="15.75" customHeight="1">
      <c r="E187" s="19"/>
      <c r="G187" s="18"/>
    </row>
    <row r="188" spans="5:7" ht="15.75" customHeight="1">
      <c r="E188" s="19"/>
      <c r="G188" s="18"/>
    </row>
    <row r="189" spans="5:7" ht="15.75" customHeight="1">
      <c r="E189" s="19"/>
      <c r="G189" s="18"/>
    </row>
    <row r="190" spans="5:7" ht="15.75" customHeight="1">
      <c r="E190" s="19"/>
      <c r="G190" s="18"/>
    </row>
    <row r="191" spans="5:7" ht="15.75" customHeight="1">
      <c r="E191" s="19"/>
      <c r="G191" s="18"/>
    </row>
    <row r="192" spans="5:7" ht="15.75" customHeight="1">
      <c r="E192" s="19"/>
      <c r="G192" s="18"/>
    </row>
    <row r="193" spans="5:7" ht="15.75" customHeight="1">
      <c r="E193" s="19"/>
      <c r="G193" s="18"/>
    </row>
    <row r="194" spans="5:7" ht="15.75" customHeight="1">
      <c r="E194" s="19"/>
      <c r="G194" s="18"/>
    </row>
    <row r="195" spans="5:7" ht="15.75" customHeight="1">
      <c r="E195" s="19"/>
      <c r="G195" s="18"/>
    </row>
    <row r="196" spans="5:7" ht="15.75" customHeight="1">
      <c r="E196" s="19"/>
      <c r="G196" s="18"/>
    </row>
    <row r="197" spans="5:7" ht="15.75" customHeight="1">
      <c r="E197" s="19"/>
      <c r="G197" s="18"/>
    </row>
    <row r="198" spans="5:7" ht="15.75" customHeight="1">
      <c r="E198" s="19"/>
      <c r="G198" s="18"/>
    </row>
    <row r="199" spans="5:7" ht="15.75" customHeight="1">
      <c r="E199" s="19"/>
      <c r="G199" s="18"/>
    </row>
    <row r="200" spans="5:7" ht="15.75" customHeight="1">
      <c r="E200" s="19"/>
      <c r="G200" s="18"/>
    </row>
    <row r="201" spans="5:7" ht="15.75" customHeight="1">
      <c r="E201" s="19"/>
      <c r="G201" s="18"/>
    </row>
    <row r="202" spans="5:7" ht="15.75" customHeight="1">
      <c r="E202" s="19"/>
      <c r="G202" s="18"/>
    </row>
    <row r="203" spans="5:7" ht="15.75" customHeight="1">
      <c r="E203" s="19"/>
      <c r="G203" s="18"/>
    </row>
    <row r="204" spans="5:7" ht="15.75" customHeight="1">
      <c r="E204" s="19"/>
      <c r="G204" s="18"/>
    </row>
    <row r="205" spans="5:7" ht="15.75" customHeight="1">
      <c r="E205" s="19"/>
      <c r="G205" s="18"/>
    </row>
    <row r="206" spans="5:7" ht="15.75" customHeight="1">
      <c r="E206" s="19"/>
      <c r="G206" s="18"/>
    </row>
    <row r="207" spans="5:7" ht="15.75" customHeight="1">
      <c r="E207" s="19"/>
      <c r="G207" s="18"/>
    </row>
    <row r="208" spans="5:7" ht="15.75" customHeight="1">
      <c r="E208" s="19"/>
      <c r="G208" s="18"/>
    </row>
    <row r="209" spans="5:7" ht="15.75" customHeight="1">
      <c r="E209" s="19"/>
      <c r="G209" s="18"/>
    </row>
    <row r="210" spans="5:7" ht="15.75" customHeight="1">
      <c r="E210" s="19"/>
      <c r="G210" s="18"/>
    </row>
    <row r="211" spans="5:7" ht="15.75" customHeight="1">
      <c r="E211" s="19"/>
      <c r="G211" s="18"/>
    </row>
    <row r="212" spans="5:7" ht="15.75" customHeight="1">
      <c r="E212" s="19"/>
      <c r="G212" s="18"/>
    </row>
    <row r="213" spans="5:7" ht="15.75" customHeight="1">
      <c r="E213" s="19"/>
      <c r="G213" s="18"/>
    </row>
    <row r="214" spans="5:7" ht="15.75" customHeight="1">
      <c r="E214" s="19"/>
      <c r="G214" s="18"/>
    </row>
    <row r="215" spans="5:7" ht="15.75" customHeight="1">
      <c r="E215" s="19"/>
      <c r="G215" s="18"/>
    </row>
    <row r="216" spans="5:7" ht="15.75" customHeight="1">
      <c r="E216" s="19"/>
      <c r="G216" s="18"/>
    </row>
    <row r="217" spans="5:7" ht="15.75" customHeight="1">
      <c r="E217" s="19"/>
      <c r="G217" s="18"/>
    </row>
    <row r="218" spans="5:7" ht="15.75" customHeight="1">
      <c r="E218" s="19"/>
      <c r="G218" s="18"/>
    </row>
    <row r="219" spans="5:7" ht="15.75" customHeight="1">
      <c r="E219" s="19"/>
      <c r="G219" s="18"/>
    </row>
    <row r="220" spans="5:7" ht="15.75" customHeight="1">
      <c r="E220" s="19"/>
      <c r="G220" s="18"/>
    </row>
    <row r="221" spans="5:7" ht="15.75" customHeight="1">
      <c r="E221" s="19"/>
      <c r="G221" s="18"/>
    </row>
    <row r="222" spans="5:7" ht="15.75" customHeight="1">
      <c r="E222" s="19"/>
      <c r="G222" s="18"/>
    </row>
    <row r="223" spans="5:7" ht="15.75" customHeight="1">
      <c r="E223" s="19"/>
      <c r="G223" s="18"/>
    </row>
    <row r="224" spans="5:7" ht="15.75" customHeight="1">
      <c r="E224" s="19"/>
      <c r="G224" s="18"/>
    </row>
    <row r="225" spans="5:7" ht="15.75" customHeight="1">
      <c r="E225" s="19"/>
      <c r="G225" s="18"/>
    </row>
    <row r="226" spans="5:7" ht="15.75" customHeight="1">
      <c r="E226" s="19"/>
      <c r="G226" s="18"/>
    </row>
    <row r="227" spans="5:7" ht="15.75" customHeight="1">
      <c r="E227" s="19"/>
      <c r="G227" s="18"/>
    </row>
    <row r="228" spans="5:7" ht="15.75" customHeight="1">
      <c r="E228" s="19"/>
      <c r="G228" s="18"/>
    </row>
    <row r="229" spans="5:7" ht="15.75" customHeight="1">
      <c r="E229" s="19"/>
      <c r="G229" s="18"/>
    </row>
    <row r="230" spans="5:7" ht="15.75" customHeight="1">
      <c r="E230" s="19"/>
      <c r="G230" s="18"/>
    </row>
    <row r="231" spans="5:7" ht="15.75" customHeight="1">
      <c r="E231" s="19"/>
      <c r="G231" s="18"/>
    </row>
    <row r="232" spans="5:7" ht="15.75" customHeight="1">
      <c r="E232" s="19"/>
      <c r="G232" s="18"/>
    </row>
    <row r="233" spans="5:7" ht="15.75" customHeight="1">
      <c r="E233" s="19"/>
      <c r="G233" s="18"/>
    </row>
    <row r="234" spans="5:7" ht="15.75" customHeight="1">
      <c r="E234" s="19"/>
      <c r="G234" s="18"/>
    </row>
    <row r="235" spans="5:7" ht="15.75" customHeight="1">
      <c r="E235" s="19"/>
      <c r="G235" s="18"/>
    </row>
    <row r="236" spans="5:7" ht="15.75" customHeight="1">
      <c r="E236" s="19"/>
      <c r="G236" s="18"/>
    </row>
    <row r="237" spans="5:7" ht="15.75" customHeight="1">
      <c r="E237" s="19"/>
      <c r="G237" s="18"/>
    </row>
    <row r="238" spans="5:7" ht="15.75" customHeight="1">
      <c r="E238" s="19"/>
      <c r="G238" s="18"/>
    </row>
    <row r="239" spans="5:7" ht="15.75" customHeight="1">
      <c r="E239" s="19"/>
      <c r="G239" s="18"/>
    </row>
    <row r="240" spans="5:7" ht="15.75" customHeight="1">
      <c r="E240" s="19"/>
      <c r="G240" s="18"/>
    </row>
    <row r="241" spans="5:7" ht="15.75" customHeight="1">
      <c r="E241" s="19"/>
      <c r="G241" s="18"/>
    </row>
    <row r="242" spans="5:7" ht="15.75" customHeight="1">
      <c r="E242" s="19"/>
      <c r="G242" s="18"/>
    </row>
    <row r="243" spans="5:7" ht="15.75" customHeight="1">
      <c r="E243" s="19"/>
      <c r="G243" s="18"/>
    </row>
    <row r="244" spans="5:7" ht="15.75" customHeight="1">
      <c r="E244" s="19"/>
      <c r="G244" s="18"/>
    </row>
    <row r="245" spans="5:7" ht="15.75" customHeight="1">
      <c r="E245" s="19"/>
      <c r="G245" s="18"/>
    </row>
    <row r="246" spans="5:7" ht="15.75" customHeight="1">
      <c r="E246" s="19"/>
      <c r="G246" s="18"/>
    </row>
    <row r="247" spans="5:7" ht="15.75" customHeight="1">
      <c r="E247" s="19"/>
      <c r="G247" s="18"/>
    </row>
    <row r="248" spans="5:7" ht="15.75" customHeight="1">
      <c r="E248" s="19"/>
      <c r="G248" s="18"/>
    </row>
    <row r="249" spans="5:7" ht="15.75" customHeight="1">
      <c r="E249" s="19"/>
      <c r="G249" s="18"/>
    </row>
    <row r="250" spans="5:7" ht="15.75" customHeight="1">
      <c r="E250" s="19"/>
      <c r="G250" s="18"/>
    </row>
    <row r="251" spans="5:7" ht="15.75" customHeight="1">
      <c r="E251" s="19"/>
      <c r="G251" s="18"/>
    </row>
    <row r="252" spans="5:7" ht="15.75" customHeight="1">
      <c r="E252" s="19"/>
      <c r="G252" s="18"/>
    </row>
    <row r="253" spans="5:7" ht="15.75" customHeight="1">
      <c r="E253" s="19"/>
      <c r="G253" s="18"/>
    </row>
    <row r="254" spans="5:7" ht="15.75" customHeight="1">
      <c r="E254" s="19"/>
      <c r="G254" s="18"/>
    </row>
    <row r="255" spans="5:7" ht="15.75" customHeight="1">
      <c r="E255" s="19"/>
      <c r="G255" s="18"/>
    </row>
    <row r="256" spans="5:7" ht="15.75" customHeight="1">
      <c r="E256" s="19"/>
      <c r="G256" s="18"/>
    </row>
    <row r="257" spans="5:7" ht="15.75" customHeight="1">
      <c r="E257" s="19"/>
      <c r="G257" s="18"/>
    </row>
    <row r="258" spans="5:7" ht="15.75" customHeight="1">
      <c r="E258" s="19"/>
      <c r="G258" s="18"/>
    </row>
    <row r="259" spans="5:7" ht="15.75" customHeight="1">
      <c r="E259" s="19"/>
      <c r="G259" s="18"/>
    </row>
    <row r="260" spans="5:7" ht="15.75" customHeight="1">
      <c r="E260" s="19"/>
      <c r="G260" s="18"/>
    </row>
    <row r="261" spans="5:7" ht="15.75" customHeight="1">
      <c r="E261" s="19"/>
      <c r="G261" s="18"/>
    </row>
    <row r="262" spans="5:7" ht="15.75" customHeight="1">
      <c r="E262" s="19"/>
      <c r="G262" s="18"/>
    </row>
    <row r="263" spans="5:7" ht="15.75" customHeight="1">
      <c r="E263" s="19"/>
      <c r="G263" s="18"/>
    </row>
    <row r="264" spans="5:7" ht="15.75" customHeight="1">
      <c r="E264" s="19"/>
      <c r="G264" s="18"/>
    </row>
    <row r="265" spans="5:7" ht="15.75" customHeight="1">
      <c r="E265" s="19"/>
      <c r="G265" s="18"/>
    </row>
    <row r="266" spans="5:7" ht="15.75" customHeight="1">
      <c r="E266" s="19"/>
      <c r="G266" s="18"/>
    </row>
    <row r="267" spans="5:7" ht="15.75" customHeight="1">
      <c r="E267" s="19"/>
      <c r="G267" s="18"/>
    </row>
    <row r="268" spans="5:7" ht="15.75" customHeight="1">
      <c r="E268" s="19"/>
      <c r="G268" s="18"/>
    </row>
    <row r="269" spans="5:7" ht="15.75" customHeight="1">
      <c r="E269" s="19"/>
      <c r="G269" s="18"/>
    </row>
    <row r="270" spans="5:7" ht="15.75" customHeight="1">
      <c r="E270" s="19"/>
      <c r="G270" s="18"/>
    </row>
    <row r="271" spans="5:7" ht="15.75" customHeight="1">
      <c r="E271" s="19"/>
      <c r="G271" s="18"/>
    </row>
    <row r="272" spans="5:7" ht="15.75" customHeight="1">
      <c r="E272" s="19"/>
      <c r="G272" s="18"/>
    </row>
    <row r="273" spans="5:7" ht="15.75" customHeight="1">
      <c r="E273" s="19"/>
      <c r="G273" s="18"/>
    </row>
    <row r="274" spans="5:7" ht="15.75" customHeight="1">
      <c r="E274" s="19"/>
      <c r="G274" s="18"/>
    </row>
    <row r="275" spans="5:7" ht="15.75" customHeight="1">
      <c r="E275" s="19"/>
      <c r="G275" s="18"/>
    </row>
    <row r="276" spans="5:7" ht="15.75" customHeight="1">
      <c r="E276" s="19"/>
      <c r="G276" s="18"/>
    </row>
    <row r="277" spans="5:7" ht="15.75" customHeight="1">
      <c r="E277" s="19"/>
      <c r="G277" s="18"/>
    </row>
    <row r="278" spans="5:7" ht="15.75" customHeight="1">
      <c r="E278" s="19"/>
      <c r="G278" s="18"/>
    </row>
    <row r="279" spans="5:7" ht="15.75" customHeight="1">
      <c r="E279" s="19"/>
      <c r="G279" s="18"/>
    </row>
    <row r="280" spans="5:7" ht="15.75" customHeight="1">
      <c r="E280" s="19"/>
      <c r="G280" s="18"/>
    </row>
    <row r="281" spans="5:7" ht="15.75" customHeight="1">
      <c r="E281" s="19"/>
      <c r="G281" s="18"/>
    </row>
    <row r="282" spans="5:7" ht="15.75" customHeight="1">
      <c r="E282" s="19"/>
      <c r="G282" s="18"/>
    </row>
    <row r="283" spans="5:7" ht="15.75" customHeight="1">
      <c r="E283" s="19"/>
      <c r="G283" s="18"/>
    </row>
    <row r="284" spans="5:7" ht="15.75" customHeight="1">
      <c r="E284" s="19"/>
      <c r="G284" s="18"/>
    </row>
    <row r="285" spans="5:7" ht="15.75" customHeight="1">
      <c r="E285" s="19"/>
      <c r="G285" s="18"/>
    </row>
    <row r="286" spans="5:7" ht="15.75" customHeight="1">
      <c r="E286" s="19"/>
      <c r="G286" s="18"/>
    </row>
    <row r="287" spans="5:7" ht="15.75" customHeight="1">
      <c r="E287" s="19"/>
      <c r="G287" s="18"/>
    </row>
    <row r="288" spans="5:7" ht="15.75" customHeight="1">
      <c r="E288" s="19"/>
      <c r="G288" s="18"/>
    </row>
    <row r="289" spans="5:7" ht="15.75" customHeight="1">
      <c r="E289" s="19"/>
      <c r="G289" s="18"/>
    </row>
    <row r="290" spans="5:7" ht="15.75" customHeight="1">
      <c r="E290" s="19"/>
      <c r="G290" s="18"/>
    </row>
    <row r="291" spans="5:7" ht="15.75" customHeight="1">
      <c r="E291" s="19"/>
      <c r="G291" s="18"/>
    </row>
    <row r="292" spans="5:7" ht="15.75" customHeight="1">
      <c r="E292" s="19"/>
      <c r="G292" s="18"/>
    </row>
    <row r="293" spans="5:7" ht="15.75" customHeight="1">
      <c r="E293" s="19"/>
      <c r="G293" s="18"/>
    </row>
    <row r="294" spans="5:7" ht="15.75" customHeight="1">
      <c r="E294" s="19"/>
      <c r="G294" s="18"/>
    </row>
    <row r="295" spans="5:7" ht="15.75" customHeight="1">
      <c r="E295" s="19"/>
      <c r="G295" s="18"/>
    </row>
    <row r="296" spans="5:7" ht="15.75" customHeight="1">
      <c r="E296" s="19"/>
      <c r="G296" s="18"/>
    </row>
    <row r="297" spans="5:7" ht="15.75" customHeight="1">
      <c r="E297" s="19"/>
      <c r="G297" s="18"/>
    </row>
    <row r="298" spans="5:7" ht="15.75" customHeight="1">
      <c r="E298" s="19"/>
      <c r="G298" s="18"/>
    </row>
    <row r="299" spans="5:7" ht="15.75" customHeight="1">
      <c r="E299" s="19"/>
      <c r="G299" s="18"/>
    </row>
    <row r="300" spans="5:7" ht="15.75" customHeight="1">
      <c r="E300" s="19"/>
      <c r="G300" s="18"/>
    </row>
    <row r="301" spans="5:7" ht="15.75" customHeight="1">
      <c r="E301" s="19"/>
      <c r="G301" s="18"/>
    </row>
    <row r="302" spans="5:7" ht="15.75" customHeight="1">
      <c r="E302" s="19"/>
      <c r="G302" s="18"/>
    </row>
    <row r="303" spans="5:7" ht="15.75" customHeight="1">
      <c r="E303" s="19"/>
      <c r="G303" s="18"/>
    </row>
    <row r="304" spans="5:7" ht="15.75" customHeight="1">
      <c r="E304" s="19"/>
      <c r="G304" s="18"/>
    </row>
    <row r="305" spans="5:7" ht="15.75" customHeight="1">
      <c r="E305" s="19"/>
      <c r="G305" s="18"/>
    </row>
    <row r="306" spans="5:7" ht="15.75" customHeight="1">
      <c r="E306" s="19"/>
      <c r="G306" s="18"/>
    </row>
    <row r="307" spans="5:7" ht="15.75" customHeight="1">
      <c r="E307" s="19"/>
      <c r="G307" s="18"/>
    </row>
    <row r="308" spans="5:7" ht="15.75" customHeight="1">
      <c r="E308" s="19"/>
      <c r="G308" s="18"/>
    </row>
    <row r="309" spans="5:7" ht="15.75" customHeight="1">
      <c r="E309" s="19"/>
      <c r="G309" s="18"/>
    </row>
    <row r="310" spans="5:7" ht="15.75" customHeight="1">
      <c r="E310" s="19"/>
      <c r="G310" s="18"/>
    </row>
    <row r="311" spans="5:7" ht="15.75" customHeight="1">
      <c r="E311" s="19"/>
      <c r="G311" s="18"/>
    </row>
    <row r="312" spans="5:7" ht="15.75" customHeight="1">
      <c r="E312" s="19"/>
      <c r="G312" s="18"/>
    </row>
    <row r="313" spans="5:7" ht="15.75" customHeight="1">
      <c r="E313" s="19"/>
      <c r="G313" s="18"/>
    </row>
    <row r="314" spans="5:7" ht="15.75" customHeight="1">
      <c r="E314" s="19"/>
      <c r="G314" s="18"/>
    </row>
    <row r="315" spans="5:7" ht="15.75" customHeight="1">
      <c r="E315" s="19"/>
      <c r="G315" s="18"/>
    </row>
    <row r="316" spans="5:7" ht="15.75" customHeight="1">
      <c r="E316" s="19"/>
      <c r="G316" s="18"/>
    </row>
    <row r="317" spans="5:7" ht="15.75" customHeight="1">
      <c r="E317" s="19"/>
      <c r="G317" s="18"/>
    </row>
    <row r="318" spans="5:7" ht="15.75" customHeight="1">
      <c r="E318" s="19"/>
      <c r="G318" s="18"/>
    </row>
    <row r="319" spans="5:7" ht="15.75" customHeight="1">
      <c r="E319" s="19"/>
      <c r="G319" s="18"/>
    </row>
    <row r="320" spans="5:7" ht="15.75" customHeight="1">
      <c r="E320" s="19"/>
      <c r="G320" s="18"/>
    </row>
    <row r="321" spans="5:7" ht="15.75" customHeight="1">
      <c r="E321" s="19"/>
      <c r="G321" s="18"/>
    </row>
    <row r="322" spans="5:7" ht="15.75" customHeight="1">
      <c r="E322" s="19"/>
      <c r="G322" s="18"/>
    </row>
    <row r="323" spans="5:7" ht="15.75" customHeight="1">
      <c r="E323" s="19"/>
      <c r="G323" s="18"/>
    </row>
    <row r="324" spans="5:7" ht="15.75" customHeight="1">
      <c r="E324" s="19"/>
      <c r="G324" s="18"/>
    </row>
    <row r="325" spans="5:7" ht="15.75" customHeight="1">
      <c r="E325" s="19"/>
      <c r="G325" s="18"/>
    </row>
    <row r="326" spans="5:7" ht="15.75" customHeight="1">
      <c r="E326" s="19"/>
      <c r="G326" s="18"/>
    </row>
    <row r="327" spans="5:7" ht="15.75" customHeight="1">
      <c r="E327" s="19"/>
      <c r="G327" s="18"/>
    </row>
    <row r="328" spans="5:7" ht="15.75" customHeight="1">
      <c r="E328" s="19"/>
      <c r="G328" s="18"/>
    </row>
    <row r="329" spans="5:7" ht="15.75" customHeight="1">
      <c r="E329" s="19"/>
      <c r="G329" s="18"/>
    </row>
    <row r="330" spans="5:7" ht="15.75" customHeight="1">
      <c r="E330" s="19"/>
      <c r="G330" s="18"/>
    </row>
    <row r="331" spans="5:7" ht="15.75" customHeight="1">
      <c r="E331" s="19"/>
      <c r="G331" s="18"/>
    </row>
    <row r="332" spans="5:7" ht="15.75" customHeight="1">
      <c r="E332" s="19"/>
      <c r="G332" s="18"/>
    </row>
    <row r="333" spans="5:7" ht="15.75" customHeight="1">
      <c r="E333" s="19"/>
      <c r="G333" s="18"/>
    </row>
    <row r="334" spans="5:7" ht="15.75" customHeight="1">
      <c r="E334" s="19"/>
      <c r="G334" s="18"/>
    </row>
    <row r="335" spans="5:7" ht="15.75" customHeight="1">
      <c r="E335" s="19"/>
      <c r="G335" s="18"/>
    </row>
    <row r="336" spans="5:7" ht="15.75" customHeight="1">
      <c r="E336" s="19"/>
      <c r="G336" s="18"/>
    </row>
    <row r="337" spans="5:7" ht="15.75" customHeight="1">
      <c r="E337" s="19"/>
      <c r="G337" s="18"/>
    </row>
    <row r="338" spans="5:7" ht="15.75" customHeight="1">
      <c r="E338" s="19"/>
      <c r="G338" s="18"/>
    </row>
    <row r="339" spans="5:7" ht="15.75" customHeight="1">
      <c r="E339" s="19"/>
      <c r="G339" s="18"/>
    </row>
    <row r="340" spans="5:7" ht="15.75" customHeight="1">
      <c r="E340" s="19"/>
      <c r="G340" s="18"/>
    </row>
    <row r="341" spans="5:7" ht="15.75" customHeight="1">
      <c r="E341" s="19"/>
      <c r="G341" s="18"/>
    </row>
    <row r="342" spans="5:7" ht="15.75" customHeight="1">
      <c r="E342" s="19"/>
      <c r="G342" s="18"/>
    </row>
    <row r="343" spans="5:7" ht="15.75" customHeight="1">
      <c r="E343" s="19"/>
      <c r="G343" s="18"/>
    </row>
    <row r="344" spans="5:7" ht="15.75" customHeight="1">
      <c r="E344" s="19"/>
      <c r="G344" s="18"/>
    </row>
    <row r="345" spans="5:7" ht="15.75" customHeight="1">
      <c r="E345" s="19"/>
      <c r="G345" s="18"/>
    </row>
    <row r="346" spans="5:7" ht="15.75" customHeight="1">
      <c r="E346" s="19"/>
      <c r="G346" s="18"/>
    </row>
    <row r="347" spans="5:7" ht="15.75" customHeight="1">
      <c r="E347" s="19"/>
      <c r="G347" s="18"/>
    </row>
    <row r="348" spans="5:7" ht="15.75" customHeight="1">
      <c r="E348" s="19"/>
      <c r="G348" s="18"/>
    </row>
    <row r="349" spans="5:7" ht="15.75" customHeight="1">
      <c r="E349" s="19"/>
      <c r="G349" s="18"/>
    </row>
    <row r="350" spans="5:7" ht="15.75" customHeight="1">
      <c r="E350" s="19"/>
      <c r="G350" s="18"/>
    </row>
    <row r="351" spans="5:7" ht="15.75" customHeight="1">
      <c r="E351" s="19"/>
      <c r="G351" s="18"/>
    </row>
    <row r="352" spans="5:7" ht="15.75" customHeight="1">
      <c r="E352" s="19"/>
      <c r="G352" s="18"/>
    </row>
    <row r="353" spans="5:7" ht="15.75" customHeight="1">
      <c r="E353" s="19"/>
      <c r="G353" s="18"/>
    </row>
    <row r="354" spans="5:7" ht="15.75" customHeight="1">
      <c r="E354" s="19"/>
      <c r="G354" s="18"/>
    </row>
    <row r="355" spans="5:7" ht="15.75" customHeight="1">
      <c r="E355" s="19"/>
      <c r="G355" s="18"/>
    </row>
    <row r="356" spans="5:7" ht="15.75" customHeight="1">
      <c r="E356" s="19"/>
      <c r="G356" s="18"/>
    </row>
    <row r="357" spans="5:7" ht="15.75" customHeight="1">
      <c r="E357" s="19"/>
      <c r="G357" s="18"/>
    </row>
    <row r="358" spans="5:7" ht="15.75" customHeight="1">
      <c r="E358" s="19"/>
      <c r="G358" s="18"/>
    </row>
    <row r="359" spans="5:7" ht="15.75" customHeight="1">
      <c r="E359" s="19"/>
      <c r="G359" s="18"/>
    </row>
    <row r="360" spans="5:7" ht="15.75" customHeight="1">
      <c r="E360" s="19"/>
      <c r="G360" s="18"/>
    </row>
    <row r="361" spans="5:7" ht="15.75" customHeight="1">
      <c r="E361" s="19"/>
      <c r="G361" s="18"/>
    </row>
    <row r="362" spans="5:7" ht="15.75" customHeight="1">
      <c r="E362" s="19"/>
      <c r="G362" s="18"/>
    </row>
    <row r="363" spans="5:7" ht="15.75" customHeight="1">
      <c r="E363" s="19"/>
      <c r="G363" s="18"/>
    </row>
    <row r="364" spans="5:7" ht="15.75" customHeight="1">
      <c r="E364" s="19"/>
      <c r="G364" s="18"/>
    </row>
    <row r="365" spans="5:7" ht="15.75" customHeight="1">
      <c r="E365" s="19"/>
      <c r="G365" s="18"/>
    </row>
    <row r="366" spans="5:7" ht="15.75" customHeight="1">
      <c r="E366" s="19"/>
      <c r="G366" s="18"/>
    </row>
    <row r="367" spans="5:7" ht="15.75" customHeight="1">
      <c r="E367" s="19"/>
      <c r="G367" s="18"/>
    </row>
    <row r="368" spans="5:7" ht="15.75" customHeight="1">
      <c r="E368" s="19"/>
      <c r="G368" s="18"/>
    </row>
    <row r="369" spans="5:7" ht="15.75" customHeight="1">
      <c r="E369" s="19"/>
      <c r="G369" s="18"/>
    </row>
    <row r="370" spans="5:7" ht="15.75" customHeight="1">
      <c r="E370" s="19"/>
      <c r="G370" s="18"/>
    </row>
    <row r="371" spans="5:7" ht="15.75" customHeight="1">
      <c r="E371" s="19"/>
      <c r="G371" s="18"/>
    </row>
    <row r="372" spans="5:7" ht="15.75" customHeight="1">
      <c r="E372" s="19"/>
      <c r="G372" s="18"/>
    </row>
    <row r="373" spans="5:7" ht="15.75" customHeight="1">
      <c r="E373" s="19"/>
      <c r="G373" s="18"/>
    </row>
    <row r="374" spans="5:7" ht="15.75" customHeight="1">
      <c r="E374" s="19"/>
      <c r="G374" s="18"/>
    </row>
    <row r="375" spans="5:7" ht="15.75" customHeight="1">
      <c r="E375" s="19"/>
      <c r="G375" s="18"/>
    </row>
    <row r="376" spans="5:7" ht="15.75" customHeight="1">
      <c r="E376" s="19"/>
      <c r="G376" s="18"/>
    </row>
    <row r="377" spans="5:7" ht="15.75" customHeight="1">
      <c r="E377" s="19"/>
      <c r="G377" s="18"/>
    </row>
    <row r="378" spans="5:7" ht="15.75" customHeight="1">
      <c r="E378" s="19"/>
      <c r="G378" s="18"/>
    </row>
    <row r="379" spans="5:7" ht="15.75" customHeight="1">
      <c r="E379" s="19"/>
      <c r="G379" s="18"/>
    </row>
    <row r="380" spans="5:7" ht="15.75" customHeight="1">
      <c r="E380" s="19"/>
      <c r="G380" s="18"/>
    </row>
    <row r="381" spans="5:7" ht="15.75" customHeight="1">
      <c r="E381" s="19"/>
      <c r="G381" s="18"/>
    </row>
    <row r="382" spans="5:7" ht="15.75" customHeight="1">
      <c r="E382" s="19"/>
      <c r="G382" s="18"/>
    </row>
    <row r="383" spans="5:7" ht="15.75" customHeight="1">
      <c r="E383" s="19"/>
      <c r="G383" s="18"/>
    </row>
    <row r="384" spans="5:7" ht="15.75" customHeight="1">
      <c r="E384" s="19"/>
      <c r="G384" s="18"/>
    </row>
    <row r="385" spans="5:7" ht="15.75" customHeight="1">
      <c r="E385" s="19"/>
      <c r="G385" s="18"/>
    </row>
    <row r="386" spans="5:7" ht="15.75" customHeight="1">
      <c r="E386" s="19"/>
      <c r="G386" s="18"/>
    </row>
    <row r="387" spans="5:7" ht="15.75" customHeight="1">
      <c r="E387" s="19"/>
      <c r="G387" s="18"/>
    </row>
    <row r="388" spans="5:7" ht="15.75" customHeight="1">
      <c r="E388" s="19"/>
      <c r="G388" s="18"/>
    </row>
    <row r="389" spans="5:7" ht="15.75" customHeight="1">
      <c r="E389" s="19"/>
      <c r="G389" s="18"/>
    </row>
    <row r="390" spans="5:7" ht="15.75" customHeight="1">
      <c r="E390" s="19"/>
      <c r="G390" s="18"/>
    </row>
    <row r="391" spans="5:7" ht="15.75" customHeight="1">
      <c r="E391" s="19"/>
      <c r="G391" s="18"/>
    </row>
    <row r="392" spans="5:7" ht="15.75" customHeight="1">
      <c r="E392" s="19"/>
      <c r="G392" s="18"/>
    </row>
    <row r="393" spans="5:7" ht="15.75" customHeight="1">
      <c r="E393" s="19"/>
      <c r="G393" s="18"/>
    </row>
    <row r="394" spans="5:7" ht="15.75" customHeight="1">
      <c r="E394" s="19"/>
      <c r="G394" s="18"/>
    </row>
    <row r="395" spans="5:7" ht="15.75" customHeight="1">
      <c r="E395" s="19"/>
      <c r="G395" s="18"/>
    </row>
    <row r="396" spans="5:7" ht="15.75" customHeight="1">
      <c r="E396" s="19"/>
      <c r="G396" s="18"/>
    </row>
    <row r="397" spans="5:7" ht="15.75" customHeight="1">
      <c r="E397" s="19"/>
      <c r="G397" s="18"/>
    </row>
    <row r="398" spans="5:7" ht="15.75" customHeight="1">
      <c r="E398" s="19"/>
      <c r="G398" s="18"/>
    </row>
    <row r="399" spans="5:7" ht="15.75" customHeight="1">
      <c r="E399" s="19"/>
      <c r="G399" s="18"/>
    </row>
    <row r="400" spans="5:7" ht="15.75" customHeight="1">
      <c r="E400" s="19"/>
      <c r="G400" s="18"/>
    </row>
    <row r="401" spans="5:7" ht="15.75" customHeight="1">
      <c r="E401" s="19"/>
      <c r="G401" s="18"/>
    </row>
    <row r="402" spans="5:7" ht="15.75" customHeight="1">
      <c r="E402" s="19"/>
      <c r="G402" s="18"/>
    </row>
    <row r="403" spans="5:7" ht="15.75" customHeight="1">
      <c r="E403" s="19"/>
      <c r="G403" s="18"/>
    </row>
    <row r="404" spans="5:7" ht="15.75" customHeight="1">
      <c r="E404" s="19"/>
      <c r="G404" s="18"/>
    </row>
    <row r="405" spans="5:7" ht="15.75" customHeight="1">
      <c r="E405" s="19"/>
      <c r="G405" s="18"/>
    </row>
    <row r="406" spans="5:7" ht="15.75" customHeight="1">
      <c r="E406" s="19"/>
      <c r="G406" s="18"/>
    </row>
    <row r="407" spans="5:7" ht="15.75" customHeight="1">
      <c r="E407" s="19"/>
      <c r="G407" s="18"/>
    </row>
    <row r="408" spans="5:7" ht="15.75" customHeight="1">
      <c r="E408" s="19"/>
      <c r="G408" s="18"/>
    </row>
    <row r="409" spans="5:7" ht="15.75" customHeight="1">
      <c r="E409" s="19"/>
      <c r="G409" s="18"/>
    </row>
    <row r="410" spans="5:7" ht="15.75" customHeight="1">
      <c r="E410" s="19"/>
      <c r="G410" s="18"/>
    </row>
    <row r="411" spans="5:7" ht="15.75" customHeight="1">
      <c r="E411" s="19"/>
      <c r="G411" s="18"/>
    </row>
    <row r="412" spans="5:7" ht="15.75" customHeight="1">
      <c r="E412" s="19"/>
      <c r="G412" s="18"/>
    </row>
    <row r="413" spans="5:7" ht="15.75" customHeight="1">
      <c r="E413" s="19"/>
      <c r="G413" s="18"/>
    </row>
    <row r="414" spans="5:7" ht="15.75" customHeight="1">
      <c r="E414" s="19"/>
      <c r="G414" s="18"/>
    </row>
    <row r="415" spans="5:7" ht="15.75" customHeight="1">
      <c r="E415" s="19"/>
      <c r="G415" s="18"/>
    </row>
    <row r="416" spans="5:7" ht="15.75" customHeight="1">
      <c r="E416" s="19"/>
      <c r="G416" s="18"/>
    </row>
    <row r="417" spans="5:7" ht="15.75" customHeight="1">
      <c r="E417" s="19"/>
      <c r="G417" s="18"/>
    </row>
    <row r="418" spans="5:7" ht="15.75" customHeight="1">
      <c r="E418" s="19"/>
      <c r="G418" s="18"/>
    </row>
    <row r="419" spans="5:7" ht="15.75" customHeight="1">
      <c r="E419" s="19"/>
      <c r="G419" s="18"/>
    </row>
    <row r="420" spans="5:7" ht="15.75" customHeight="1">
      <c r="E420" s="19"/>
      <c r="G420" s="18"/>
    </row>
    <row r="421" spans="5:7" ht="15.75" customHeight="1">
      <c r="E421" s="19"/>
      <c r="G421" s="18"/>
    </row>
    <row r="422" spans="5:7" ht="15.75" customHeight="1">
      <c r="E422" s="19"/>
      <c r="G422" s="18"/>
    </row>
    <row r="423" spans="5:7" ht="15.75" customHeight="1">
      <c r="E423" s="19"/>
      <c r="G423" s="18"/>
    </row>
    <row r="424" spans="5:7" ht="15.75" customHeight="1">
      <c r="E424" s="19"/>
      <c r="G424" s="18"/>
    </row>
    <row r="425" spans="5:7" ht="15.75" customHeight="1">
      <c r="E425" s="19"/>
      <c r="G425" s="18"/>
    </row>
    <row r="426" spans="5:7" ht="15.75" customHeight="1">
      <c r="E426" s="19"/>
      <c r="G426" s="18"/>
    </row>
    <row r="427" spans="5:7" ht="15.75" customHeight="1">
      <c r="E427" s="19"/>
      <c r="G427" s="18"/>
    </row>
    <row r="428" spans="5:7" ht="15.75" customHeight="1">
      <c r="E428" s="19"/>
      <c r="G428" s="18"/>
    </row>
    <row r="429" spans="5:7" ht="15.75" customHeight="1">
      <c r="E429" s="19"/>
      <c r="G429" s="18"/>
    </row>
    <row r="430" spans="5:7" ht="15.75" customHeight="1">
      <c r="E430" s="19"/>
      <c r="G430" s="18"/>
    </row>
    <row r="431" spans="5:7" ht="15.75" customHeight="1">
      <c r="E431" s="19"/>
      <c r="G431" s="18"/>
    </row>
    <row r="432" spans="5:7" ht="15.75" customHeight="1">
      <c r="E432" s="19"/>
      <c r="G432" s="18"/>
    </row>
    <row r="433" spans="5:7" ht="15.75" customHeight="1">
      <c r="E433" s="19"/>
      <c r="G433" s="18"/>
    </row>
    <row r="434" spans="5:7" ht="15.75" customHeight="1">
      <c r="E434" s="19"/>
      <c r="G434" s="18"/>
    </row>
    <row r="435" spans="5:7" ht="15.75" customHeight="1">
      <c r="E435" s="19"/>
      <c r="G435" s="18"/>
    </row>
    <row r="436" spans="5:7" ht="15.75" customHeight="1">
      <c r="E436" s="19"/>
      <c r="G436" s="18"/>
    </row>
    <row r="437" spans="5:7" ht="15.75" customHeight="1">
      <c r="E437" s="19"/>
      <c r="G437" s="18"/>
    </row>
    <row r="438" spans="5:7" ht="15.75" customHeight="1">
      <c r="E438" s="19"/>
      <c r="G438" s="18"/>
    </row>
    <row r="439" spans="5:7" ht="15.75" customHeight="1">
      <c r="E439" s="19"/>
      <c r="G439" s="18"/>
    </row>
    <row r="440" spans="5:7" ht="15.75" customHeight="1">
      <c r="E440" s="19"/>
      <c r="G440" s="18"/>
    </row>
    <row r="441" spans="5:7" ht="15.75" customHeight="1">
      <c r="E441" s="19"/>
      <c r="G441" s="18"/>
    </row>
    <row r="442" spans="5:7" ht="15.75" customHeight="1">
      <c r="E442" s="19"/>
      <c r="G442" s="18"/>
    </row>
    <row r="443" spans="5:7" ht="15.75" customHeight="1">
      <c r="E443" s="19"/>
      <c r="G443" s="18"/>
    </row>
    <row r="444" spans="5:7" ht="15.75" customHeight="1">
      <c r="E444" s="19"/>
      <c r="G444" s="18"/>
    </row>
    <row r="445" spans="5:7" ht="15.75" customHeight="1">
      <c r="E445" s="19"/>
      <c r="G445" s="18"/>
    </row>
    <row r="446" spans="5:7" ht="15.75" customHeight="1">
      <c r="E446" s="19"/>
      <c r="G446" s="18"/>
    </row>
    <row r="447" spans="5:7" ht="15.75" customHeight="1">
      <c r="E447" s="19"/>
      <c r="G447" s="18"/>
    </row>
    <row r="448" spans="5:7" ht="15.75" customHeight="1">
      <c r="E448" s="19"/>
      <c r="G448" s="18"/>
    </row>
    <row r="449" spans="5:7" ht="15.75" customHeight="1">
      <c r="E449" s="19"/>
      <c r="G449" s="18"/>
    </row>
    <row r="450" spans="5:7" ht="15.75" customHeight="1">
      <c r="E450" s="19"/>
      <c r="G450" s="18"/>
    </row>
    <row r="451" spans="5:7" ht="15.75" customHeight="1">
      <c r="E451" s="19"/>
      <c r="G451" s="18"/>
    </row>
    <row r="452" spans="5:7" ht="15.75" customHeight="1">
      <c r="E452" s="19"/>
      <c r="G452" s="18"/>
    </row>
    <row r="453" spans="5:7" ht="15.75" customHeight="1">
      <c r="E453" s="19"/>
      <c r="G453" s="18"/>
    </row>
    <row r="454" spans="5:7" ht="15.75" customHeight="1">
      <c r="E454" s="19"/>
      <c r="G454" s="18"/>
    </row>
    <row r="455" spans="5:7" ht="15.75" customHeight="1">
      <c r="E455" s="19"/>
      <c r="G455" s="18"/>
    </row>
    <row r="456" spans="5:7" ht="15.75" customHeight="1">
      <c r="E456" s="19"/>
      <c r="G456" s="18"/>
    </row>
    <row r="457" spans="5:7" ht="15.75" customHeight="1">
      <c r="E457" s="19"/>
      <c r="G457" s="18"/>
    </row>
    <row r="458" spans="5:7" ht="15.75" customHeight="1">
      <c r="E458" s="19"/>
      <c r="G458" s="18"/>
    </row>
    <row r="459" spans="5:7" ht="15.75" customHeight="1">
      <c r="E459" s="19"/>
      <c r="G459" s="18"/>
    </row>
    <row r="460" spans="5:7" ht="15.75" customHeight="1">
      <c r="E460" s="19"/>
      <c r="G460" s="18"/>
    </row>
    <row r="461" spans="5:7" ht="15.75" customHeight="1">
      <c r="E461" s="19"/>
      <c r="G461" s="18"/>
    </row>
    <row r="462" spans="5:7" ht="15.75" customHeight="1">
      <c r="E462" s="19"/>
      <c r="G462" s="18"/>
    </row>
    <row r="463" spans="5:7" ht="15.75" customHeight="1">
      <c r="E463" s="19"/>
      <c r="G463" s="18"/>
    </row>
    <row r="464" spans="5:7" ht="15.75" customHeight="1">
      <c r="E464" s="19"/>
      <c r="G464" s="18"/>
    </row>
    <row r="465" spans="5:7" ht="15.75" customHeight="1">
      <c r="E465" s="19"/>
      <c r="G465" s="18"/>
    </row>
    <row r="466" spans="5:7" ht="15.75" customHeight="1">
      <c r="E466" s="19"/>
      <c r="G466" s="18"/>
    </row>
    <row r="467" spans="5:7" ht="15.75" customHeight="1">
      <c r="E467" s="19"/>
      <c r="G467" s="18"/>
    </row>
    <row r="468" spans="5:7" ht="15.75" customHeight="1">
      <c r="E468" s="19"/>
      <c r="G468" s="18"/>
    </row>
    <row r="469" spans="5:7" ht="15.75" customHeight="1">
      <c r="E469" s="19"/>
      <c r="G469" s="18"/>
    </row>
    <row r="470" spans="5:7" ht="15.75" customHeight="1">
      <c r="E470" s="19"/>
      <c r="G470" s="18"/>
    </row>
    <row r="471" spans="5:7" ht="15.75" customHeight="1">
      <c r="E471" s="19"/>
      <c r="G471" s="18"/>
    </row>
    <row r="472" spans="5:7" ht="15.75" customHeight="1">
      <c r="E472" s="19"/>
      <c r="G472" s="18"/>
    </row>
    <row r="473" spans="5:7" ht="15.75" customHeight="1">
      <c r="E473" s="19"/>
      <c r="G473" s="18"/>
    </row>
    <row r="474" spans="5:7" ht="15.75" customHeight="1">
      <c r="E474" s="19"/>
      <c r="G474" s="18"/>
    </row>
    <row r="475" spans="5:7" ht="15.75" customHeight="1">
      <c r="E475" s="19"/>
      <c r="G475" s="18"/>
    </row>
    <row r="476" spans="5:7" ht="15.75" customHeight="1">
      <c r="E476" s="19"/>
      <c r="G476" s="18"/>
    </row>
    <row r="477" spans="5:7" ht="15.75" customHeight="1">
      <c r="E477" s="19"/>
      <c r="G477" s="18"/>
    </row>
    <row r="478" spans="5:7" ht="15.75" customHeight="1">
      <c r="E478" s="19"/>
      <c r="G478" s="18"/>
    </row>
    <row r="479" spans="5:7" ht="15.75" customHeight="1">
      <c r="E479" s="19"/>
      <c r="G479" s="18"/>
    </row>
    <row r="480" spans="5:7" ht="15.75" customHeight="1">
      <c r="E480" s="19"/>
      <c r="G480" s="18"/>
    </row>
    <row r="481" spans="5:7" ht="15.75" customHeight="1">
      <c r="E481" s="19"/>
      <c r="G481" s="18"/>
    </row>
    <row r="482" spans="5:7" ht="15.75" customHeight="1">
      <c r="E482" s="19"/>
      <c r="G482" s="18"/>
    </row>
    <row r="483" spans="5:7" ht="15.75" customHeight="1">
      <c r="E483" s="19"/>
      <c r="G483" s="18"/>
    </row>
    <row r="484" spans="5:7" ht="15.75" customHeight="1">
      <c r="E484" s="19"/>
      <c r="G484" s="18"/>
    </row>
    <row r="485" spans="5:7" ht="15.75" customHeight="1">
      <c r="E485" s="19"/>
      <c r="G485" s="18"/>
    </row>
    <row r="486" spans="5:7" ht="15.75" customHeight="1">
      <c r="E486" s="19"/>
      <c r="G486" s="18"/>
    </row>
    <row r="487" spans="5:7" ht="15.75" customHeight="1">
      <c r="E487" s="19"/>
      <c r="G487" s="18"/>
    </row>
    <row r="488" spans="5:7" ht="15.75" customHeight="1">
      <c r="E488" s="19"/>
      <c r="G488" s="18"/>
    </row>
    <row r="489" spans="5:7" ht="15.75" customHeight="1">
      <c r="E489" s="19"/>
      <c r="G489" s="18"/>
    </row>
    <row r="490" spans="5:7" ht="15.75" customHeight="1">
      <c r="E490" s="19"/>
      <c r="G490" s="18"/>
    </row>
    <row r="491" spans="5:7" ht="15.75" customHeight="1">
      <c r="E491" s="19"/>
      <c r="G491" s="18"/>
    </row>
    <row r="492" spans="5:7" ht="15.75" customHeight="1">
      <c r="E492" s="19"/>
      <c r="G492" s="18"/>
    </row>
    <row r="493" spans="5:7" ht="15.75" customHeight="1">
      <c r="E493" s="19"/>
      <c r="G493" s="18"/>
    </row>
    <row r="494" spans="5:7" ht="15.75" customHeight="1">
      <c r="E494" s="19"/>
      <c r="G494" s="18"/>
    </row>
    <row r="495" spans="5:7" ht="15.75" customHeight="1">
      <c r="E495" s="19"/>
      <c r="G495" s="18"/>
    </row>
    <row r="496" spans="5:7" ht="15.75" customHeight="1">
      <c r="E496" s="19"/>
      <c r="G496" s="18"/>
    </row>
    <row r="497" spans="5:7" ht="15.75" customHeight="1">
      <c r="E497" s="19"/>
      <c r="G497" s="18"/>
    </row>
    <row r="498" spans="5:7" ht="15.75" customHeight="1">
      <c r="E498" s="19"/>
      <c r="G498" s="18"/>
    </row>
    <row r="499" spans="5:7" ht="15.75" customHeight="1">
      <c r="E499" s="19"/>
      <c r="G499" s="18"/>
    </row>
    <row r="500" spans="5:7" ht="15.75" customHeight="1">
      <c r="E500" s="19"/>
      <c r="G500" s="18"/>
    </row>
    <row r="501" spans="5:7" ht="15.75" customHeight="1">
      <c r="E501" s="19"/>
      <c r="G501" s="18"/>
    </row>
    <row r="502" spans="5:7" ht="15.75" customHeight="1">
      <c r="E502" s="19"/>
      <c r="G502" s="18"/>
    </row>
    <row r="503" spans="5:7" ht="15.75" customHeight="1">
      <c r="E503" s="19"/>
      <c r="G503" s="18"/>
    </row>
    <row r="504" spans="5:7" ht="15.75" customHeight="1">
      <c r="E504" s="19"/>
      <c r="G504" s="18"/>
    </row>
    <row r="505" spans="5:7" ht="15.75" customHeight="1">
      <c r="E505" s="19"/>
      <c r="G505" s="18"/>
    </row>
    <row r="506" spans="5:7" ht="15.75" customHeight="1">
      <c r="E506" s="19"/>
      <c r="G506" s="18"/>
    </row>
    <row r="507" spans="5:7" ht="15.75" customHeight="1">
      <c r="E507" s="19"/>
      <c r="G507" s="18"/>
    </row>
    <row r="508" spans="5:7" ht="15.75" customHeight="1">
      <c r="E508" s="19"/>
      <c r="G508" s="18"/>
    </row>
    <row r="509" spans="5:7" ht="15.75" customHeight="1">
      <c r="E509" s="19"/>
      <c r="G509" s="18"/>
    </row>
    <row r="510" spans="5:7" ht="15.75" customHeight="1">
      <c r="E510" s="19"/>
      <c r="G510" s="18"/>
    </row>
    <row r="511" spans="5:7" ht="15.75" customHeight="1">
      <c r="E511" s="19"/>
      <c r="G511" s="18"/>
    </row>
    <row r="512" spans="5:7" ht="15.75" customHeight="1">
      <c r="E512" s="19"/>
      <c r="G512" s="18"/>
    </row>
    <row r="513" spans="5:7" ht="15.75" customHeight="1">
      <c r="E513" s="19"/>
      <c r="G513" s="18"/>
    </row>
    <row r="514" spans="5:7" ht="15.75" customHeight="1">
      <c r="E514" s="19"/>
      <c r="G514" s="18"/>
    </row>
    <row r="515" spans="5:7" ht="15.75" customHeight="1">
      <c r="E515" s="19"/>
      <c r="G515" s="18"/>
    </row>
    <row r="516" spans="5:7" ht="15.75" customHeight="1">
      <c r="E516" s="19"/>
      <c r="G516" s="18"/>
    </row>
    <row r="517" spans="5:7" ht="15.75" customHeight="1">
      <c r="E517" s="19"/>
      <c r="G517" s="18"/>
    </row>
    <row r="518" spans="5:7" ht="15.75" customHeight="1">
      <c r="E518" s="19"/>
      <c r="G518" s="18"/>
    </row>
    <row r="519" spans="5:7" ht="15.75" customHeight="1">
      <c r="E519" s="19"/>
      <c r="G519" s="18"/>
    </row>
    <row r="520" spans="5:7" ht="15.75" customHeight="1">
      <c r="E520" s="19"/>
      <c r="G520" s="18"/>
    </row>
    <row r="521" spans="5:7" ht="15.75" customHeight="1">
      <c r="E521" s="19"/>
      <c r="G521" s="18"/>
    </row>
    <row r="522" spans="5:7" ht="15.75" customHeight="1">
      <c r="E522" s="19"/>
      <c r="G522" s="18"/>
    </row>
    <row r="523" spans="5:7" ht="15.75" customHeight="1">
      <c r="E523" s="19"/>
      <c r="G523" s="18"/>
    </row>
    <row r="524" spans="5:7" ht="15.75" customHeight="1">
      <c r="E524" s="19"/>
      <c r="G524" s="18"/>
    </row>
    <row r="525" spans="5:7" ht="15.75" customHeight="1">
      <c r="E525" s="19"/>
      <c r="G525" s="18"/>
    </row>
    <row r="526" spans="5:7" ht="15.75" customHeight="1">
      <c r="E526" s="19"/>
      <c r="G526" s="18"/>
    </row>
    <row r="527" spans="5:7" ht="15.75" customHeight="1">
      <c r="E527" s="19"/>
      <c r="G527" s="18"/>
    </row>
    <row r="528" spans="5:7" ht="15.75" customHeight="1">
      <c r="E528" s="19"/>
      <c r="G528" s="18"/>
    </row>
    <row r="529" spans="5:7" ht="15.75" customHeight="1">
      <c r="E529" s="19"/>
      <c r="G529" s="18"/>
    </row>
    <row r="530" spans="5:7" ht="15.75" customHeight="1">
      <c r="E530" s="19"/>
      <c r="G530" s="18"/>
    </row>
    <row r="531" spans="5:7" ht="15.75" customHeight="1">
      <c r="E531" s="19"/>
      <c r="G531" s="18"/>
    </row>
    <row r="532" spans="5:7" ht="15.75" customHeight="1">
      <c r="E532" s="19"/>
      <c r="G532" s="18"/>
    </row>
    <row r="533" spans="5:7" ht="15.75" customHeight="1">
      <c r="E533" s="19"/>
      <c r="G533" s="18"/>
    </row>
    <row r="534" spans="5:7" ht="15.75" customHeight="1">
      <c r="E534" s="19"/>
      <c r="G534" s="18"/>
    </row>
    <row r="535" spans="5:7" ht="15.75" customHeight="1">
      <c r="E535" s="19"/>
      <c r="G535" s="18"/>
    </row>
    <row r="536" spans="5:7" ht="15.75" customHeight="1">
      <c r="E536" s="19"/>
      <c r="G536" s="18"/>
    </row>
    <row r="537" spans="5:7" ht="15.75" customHeight="1">
      <c r="E537" s="19"/>
      <c r="G537" s="18"/>
    </row>
    <row r="538" spans="5:7" ht="15.75" customHeight="1">
      <c r="E538" s="19"/>
      <c r="G538" s="18"/>
    </row>
    <row r="539" spans="5:7" ht="15.75" customHeight="1">
      <c r="E539" s="19"/>
      <c r="G539" s="18"/>
    </row>
    <row r="540" spans="5:7" ht="15.75" customHeight="1">
      <c r="E540" s="19"/>
      <c r="G540" s="18"/>
    </row>
    <row r="541" spans="5:7" ht="15.75" customHeight="1">
      <c r="E541" s="19"/>
      <c r="G541" s="18"/>
    </row>
    <row r="542" spans="5:7" ht="15.75" customHeight="1">
      <c r="E542" s="19"/>
      <c r="G542" s="18"/>
    </row>
    <row r="543" spans="5:7" ht="15.75" customHeight="1">
      <c r="E543" s="19"/>
      <c r="G543" s="18"/>
    </row>
    <row r="544" spans="5:7" ht="15.75" customHeight="1">
      <c r="E544" s="19"/>
      <c r="G544" s="18"/>
    </row>
    <row r="545" spans="5:7" ht="15.75" customHeight="1">
      <c r="E545" s="19"/>
      <c r="G545" s="18"/>
    </row>
    <row r="546" spans="5:7" ht="15.75" customHeight="1">
      <c r="E546" s="19"/>
      <c r="G546" s="18"/>
    </row>
    <row r="547" spans="5:7" ht="15.75" customHeight="1">
      <c r="E547" s="19"/>
      <c r="G547" s="18"/>
    </row>
    <row r="548" spans="5:7" ht="15.75" customHeight="1">
      <c r="E548" s="19"/>
      <c r="G548" s="18"/>
    </row>
    <row r="549" spans="5:7" ht="15.75" customHeight="1">
      <c r="E549" s="19"/>
      <c r="G549" s="18"/>
    </row>
    <row r="550" spans="5:7" ht="15.75" customHeight="1">
      <c r="E550" s="19"/>
      <c r="G550" s="18"/>
    </row>
    <row r="551" spans="5:7" ht="15.75" customHeight="1">
      <c r="E551" s="19"/>
      <c r="G551" s="18"/>
    </row>
    <row r="552" spans="5:7" ht="15.75" customHeight="1">
      <c r="E552" s="19"/>
      <c r="G552" s="18"/>
    </row>
    <row r="553" spans="5:7" ht="15.75" customHeight="1">
      <c r="E553" s="19"/>
      <c r="G553" s="18"/>
    </row>
    <row r="554" spans="5:7" ht="15.75" customHeight="1">
      <c r="E554" s="19"/>
      <c r="G554" s="18"/>
    </row>
    <row r="555" spans="5:7" ht="15.75" customHeight="1">
      <c r="E555" s="19"/>
      <c r="G555" s="18"/>
    </row>
    <row r="556" spans="5:7" ht="15.75" customHeight="1">
      <c r="E556" s="19"/>
      <c r="G556" s="18"/>
    </row>
    <row r="557" spans="5:7" ht="15.75" customHeight="1">
      <c r="E557" s="19"/>
      <c r="G557" s="18"/>
    </row>
    <row r="558" spans="5:7" ht="15.75" customHeight="1">
      <c r="E558" s="19"/>
      <c r="G558" s="18"/>
    </row>
    <row r="559" spans="5:7" ht="15.75" customHeight="1">
      <c r="E559" s="19"/>
      <c r="G559" s="18"/>
    </row>
    <row r="560" spans="5:7" ht="15.75" customHeight="1">
      <c r="E560" s="19"/>
      <c r="G560" s="18"/>
    </row>
    <row r="561" spans="5:7" ht="15.75" customHeight="1">
      <c r="E561" s="19"/>
      <c r="G561" s="18"/>
    </row>
    <row r="562" spans="5:7" ht="15.75" customHeight="1">
      <c r="E562" s="19"/>
      <c r="G562" s="18"/>
    </row>
    <row r="563" spans="5:7" ht="15.75" customHeight="1">
      <c r="E563" s="19"/>
      <c r="G563" s="18"/>
    </row>
    <row r="564" spans="5:7" ht="15.75" customHeight="1">
      <c r="E564" s="19"/>
      <c r="G564" s="18"/>
    </row>
    <row r="565" spans="5:7" ht="15.75" customHeight="1">
      <c r="E565" s="19"/>
      <c r="G565" s="18"/>
    </row>
    <row r="566" spans="5:7" ht="15.75" customHeight="1">
      <c r="E566" s="19"/>
      <c r="G566" s="18"/>
    </row>
    <row r="567" spans="5:7" ht="15.75" customHeight="1">
      <c r="E567" s="19"/>
      <c r="G567" s="18"/>
    </row>
    <row r="568" spans="5:7" ht="15.75" customHeight="1">
      <c r="E568" s="19"/>
      <c r="G568" s="18"/>
    </row>
    <row r="569" spans="5:7" ht="15.75" customHeight="1">
      <c r="E569" s="19"/>
      <c r="G569" s="18"/>
    </row>
    <row r="570" spans="5:7" ht="15.75" customHeight="1">
      <c r="E570" s="19"/>
      <c r="G570" s="18"/>
    </row>
    <row r="571" spans="5:7" ht="15.75" customHeight="1">
      <c r="E571" s="19"/>
      <c r="G571" s="18"/>
    </row>
    <row r="572" spans="5:7" ht="15.75" customHeight="1">
      <c r="E572" s="19"/>
      <c r="G572" s="18"/>
    </row>
    <row r="573" spans="5:7" ht="15.75" customHeight="1">
      <c r="E573" s="19"/>
      <c r="G573" s="18"/>
    </row>
    <row r="574" spans="5:7" ht="15.75" customHeight="1">
      <c r="E574" s="19"/>
      <c r="G574" s="18"/>
    </row>
    <row r="575" spans="5:7" ht="15.75" customHeight="1">
      <c r="E575" s="19"/>
      <c r="G575" s="18"/>
    </row>
    <row r="576" spans="5:7" ht="15.75" customHeight="1">
      <c r="E576" s="19"/>
      <c r="G576" s="18"/>
    </row>
    <row r="577" spans="5:7" ht="15.75" customHeight="1">
      <c r="E577" s="19"/>
      <c r="G577" s="18"/>
    </row>
    <row r="578" spans="5:7" ht="15.75" customHeight="1">
      <c r="E578" s="19"/>
      <c r="G578" s="18"/>
    </row>
    <row r="579" spans="5:7" ht="15.75" customHeight="1">
      <c r="E579" s="19"/>
      <c r="G579" s="18"/>
    </row>
    <row r="580" spans="5:7" ht="15.75" customHeight="1">
      <c r="E580" s="19"/>
      <c r="G580" s="18"/>
    </row>
    <row r="581" spans="5:7" ht="15.75" customHeight="1">
      <c r="E581" s="19"/>
      <c r="G581" s="18"/>
    </row>
    <row r="582" spans="5:7" ht="15.75" customHeight="1">
      <c r="E582" s="19"/>
      <c r="G582" s="18"/>
    </row>
    <row r="583" spans="5:7" ht="15.75" customHeight="1">
      <c r="E583" s="19"/>
      <c r="G583" s="18"/>
    </row>
    <row r="584" spans="5:7" ht="15.75" customHeight="1">
      <c r="E584" s="19"/>
      <c r="G584" s="18"/>
    </row>
    <row r="585" spans="5:7" ht="15.75" customHeight="1">
      <c r="E585" s="19"/>
      <c r="G585" s="18"/>
    </row>
    <row r="586" spans="5:7" ht="15.75" customHeight="1">
      <c r="E586" s="19"/>
      <c r="G586" s="18"/>
    </row>
    <row r="587" spans="5:7" ht="15.75" customHeight="1">
      <c r="E587" s="19"/>
      <c r="G587" s="18"/>
    </row>
    <row r="588" spans="5:7" ht="15.75" customHeight="1">
      <c r="E588" s="19"/>
      <c r="G588" s="18"/>
    </row>
    <row r="589" spans="5:7" ht="15.75" customHeight="1">
      <c r="E589" s="19"/>
      <c r="G589" s="18"/>
    </row>
    <row r="590" spans="5:7" ht="15.75" customHeight="1">
      <c r="E590" s="19"/>
      <c r="G590" s="18"/>
    </row>
    <row r="591" spans="5:7" ht="15.75" customHeight="1">
      <c r="E591" s="19"/>
      <c r="G591" s="18"/>
    </row>
    <row r="592" spans="5:7" ht="15.75" customHeight="1">
      <c r="E592" s="19"/>
      <c r="G592" s="18"/>
    </row>
    <row r="593" spans="5:7" ht="15.75" customHeight="1">
      <c r="E593" s="19"/>
      <c r="G593" s="18"/>
    </row>
    <row r="594" spans="5:7" ht="15.75" customHeight="1">
      <c r="E594" s="19"/>
      <c r="G594" s="18"/>
    </row>
    <row r="595" spans="5:7" ht="15.75" customHeight="1">
      <c r="E595" s="19"/>
      <c r="G595" s="18"/>
    </row>
    <row r="596" spans="5:7" ht="15.75" customHeight="1">
      <c r="E596" s="19"/>
      <c r="G596" s="18"/>
    </row>
    <row r="597" spans="5:7" ht="15.75" customHeight="1">
      <c r="E597" s="19"/>
      <c r="G597" s="18"/>
    </row>
    <row r="598" spans="5:7" ht="15.75" customHeight="1">
      <c r="E598" s="19"/>
      <c r="G598" s="18"/>
    </row>
    <row r="599" spans="5:7" ht="15.75" customHeight="1">
      <c r="E599" s="19"/>
      <c r="G599" s="18"/>
    </row>
    <row r="600" spans="5:7" ht="15.75" customHeight="1">
      <c r="E600" s="19"/>
      <c r="G600" s="18"/>
    </row>
    <row r="601" spans="5:7" ht="15.75" customHeight="1">
      <c r="E601" s="19"/>
      <c r="G601" s="18"/>
    </row>
    <row r="602" spans="5:7" ht="15.75" customHeight="1">
      <c r="E602" s="19"/>
      <c r="G602" s="18"/>
    </row>
    <row r="603" spans="5:7" ht="15.75" customHeight="1">
      <c r="E603" s="19"/>
      <c r="G603" s="18"/>
    </row>
    <row r="604" spans="5:7" ht="15.75" customHeight="1">
      <c r="E604" s="19"/>
      <c r="G604" s="18"/>
    </row>
    <row r="605" spans="5:7" ht="15.75" customHeight="1">
      <c r="E605" s="19"/>
      <c r="G605" s="18"/>
    </row>
    <row r="606" spans="5:7" ht="15.75" customHeight="1">
      <c r="E606" s="19"/>
      <c r="G606" s="18"/>
    </row>
    <row r="607" spans="5:7" ht="15.75" customHeight="1">
      <c r="E607" s="19"/>
      <c r="G607" s="18"/>
    </row>
    <row r="608" spans="5:7" ht="15.75" customHeight="1">
      <c r="E608" s="19"/>
      <c r="G608" s="18"/>
    </row>
    <row r="609" spans="5:7" ht="15.75" customHeight="1">
      <c r="E609" s="19"/>
      <c r="G609" s="18"/>
    </row>
    <row r="610" spans="5:7" ht="15.75" customHeight="1">
      <c r="E610" s="19"/>
      <c r="G610" s="18"/>
    </row>
    <row r="611" spans="5:7" ht="15.75" customHeight="1">
      <c r="E611" s="19"/>
      <c r="G611" s="18"/>
    </row>
    <row r="612" spans="5:7" ht="15.75" customHeight="1">
      <c r="E612" s="19"/>
      <c r="G612" s="18"/>
    </row>
    <row r="613" spans="5:7" ht="15.75" customHeight="1">
      <c r="E613" s="19"/>
      <c r="G613" s="18"/>
    </row>
    <row r="614" spans="5:7" ht="15.75" customHeight="1">
      <c r="E614" s="19"/>
      <c r="G614" s="18"/>
    </row>
    <row r="615" spans="5:7" ht="15.75" customHeight="1">
      <c r="E615" s="19"/>
      <c r="G615" s="18"/>
    </row>
    <row r="616" spans="5:7" ht="15.75" customHeight="1">
      <c r="E616" s="19"/>
      <c r="G616" s="18"/>
    </row>
    <row r="617" spans="5:7" ht="15.75" customHeight="1">
      <c r="E617" s="19"/>
      <c r="G617" s="18"/>
    </row>
    <row r="618" spans="5:7" ht="15.75" customHeight="1">
      <c r="E618" s="19"/>
      <c r="G618" s="18"/>
    </row>
    <row r="619" spans="5:7" ht="15.75" customHeight="1">
      <c r="E619" s="19"/>
      <c r="G619" s="18"/>
    </row>
    <row r="620" spans="5:7" ht="15.75" customHeight="1">
      <c r="E620" s="19"/>
      <c r="G620" s="18"/>
    </row>
    <row r="621" spans="5:7" ht="15.75" customHeight="1">
      <c r="E621" s="19"/>
      <c r="G621" s="18"/>
    </row>
    <row r="622" spans="5:7" ht="15.75" customHeight="1">
      <c r="E622" s="19"/>
      <c r="G622" s="18"/>
    </row>
    <row r="623" spans="5:7" ht="15.75" customHeight="1">
      <c r="E623" s="19"/>
      <c r="G623" s="18"/>
    </row>
    <row r="624" spans="5:7" ht="15.75" customHeight="1">
      <c r="E624" s="19"/>
      <c r="G624" s="18"/>
    </row>
    <row r="625" spans="5:7" ht="15.75" customHeight="1">
      <c r="E625" s="19"/>
      <c r="G625" s="18"/>
    </row>
    <row r="626" spans="5:7" ht="15.75" customHeight="1">
      <c r="E626" s="19"/>
      <c r="G626" s="18"/>
    </row>
    <row r="627" spans="5:7" ht="15.75" customHeight="1">
      <c r="E627" s="19"/>
      <c r="G627" s="18"/>
    </row>
    <row r="628" spans="5:7" ht="15.75" customHeight="1">
      <c r="E628" s="19"/>
      <c r="G628" s="18"/>
    </row>
    <row r="629" spans="5:7" ht="15.75" customHeight="1">
      <c r="E629" s="19"/>
      <c r="G629" s="18"/>
    </row>
    <row r="630" spans="5:7" ht="15.75" customHeight="1">
      <c r="E630" s="19"/>
      <c r="G630" s="18"/>
    </row>
    <row r="631" spans="5:7" ht="15.75" customHeight="1">
      <c r="E631" s="19"/>
      <c r="G631" s="18"/>
    </row>
    <row r="632" spans="5:7" ht="15.75" customHeight="1">
      <c r="E632" s="19"/>
      <c r="G632" s="18"/>
    </row>
    <row r="633" spans="5:7" ht="15.75" customHeight="1">
      <c r="E633" s="19"/>
      <c r="G633" s="18"/>
    </row>
    <row r="634" spans="5:7" ht="15.75" customHeight="1">
      <c r="E634" s="19"/>
      <c r="G634" s="18"/>
    </row>
    <row r="635" spans="5:7" ht="15.75" customHeight="1">
      <c r="E635" s="19"/>
      <c r="G635" s="18"/>
    </row>
    <row r="636" spans="5:7" ht="15.75" customHeight="1">
      <c r="E636" s="19"/>
      <c r="G636" s="18"/>
    </row>
    <row r="637" spans="5:7" ht="15.75" customHeight="1">
      <c r="E637" s="19"/>
      <c r="G637" s="18"/>
    </row>
    <row r="638" spans="5:7" ht="15.75" customHeight="1">
      <c r="E638" s="19"/>
      <c r="G638" s="18"/>
    </row>
    <row r="639" spans="5:7" ht="15.75" customHeight="1">
      <c r="E639" s="19"/>
      <c r="G639" s="18"/>
    </row>
    <row r="640" spans="5:7" ht="15.75" customHeight="1">
      <c r="E640" s="19"/>
      <c r="G640" s="18"/>
    </row>
    <row r="641" spans="5:7" ht="15.75" customHeight="1">
      <c r="E641" s="19"/>
      <c r="G641" s="18"/>
    </row>
    <row r="642" spans="5:7" ht="15.75" customHeight="1">
      <c r="E642" s="19"/>
      <c r="G642" s="18"/>
    </row>
    <row r="643" spans="5:7" ht="15.75" customHeight="1">
      <c r="E643" s="19"/>
      <c r="G643" s="18"/>
    </row>
    <row r="644" spans="5:7" ht="15.75" customHeight="1">
      <c r="E644" s="19"/>
      <c r="G644" s="18"/>
    </row>
    <row r="645" spans="5:7" ht="15.75" customHeight="1">
      <c r="E645" s="19"/>
      <c r="G645" s="18"/>
    </row>
    <row r="646" spans="5:7" ht="15.75" customHeight="1">
      <c r="E646" s="19"/>
      <c r="G646" s="18"/>
    </row>
    <row r="647" spans="5:7" ht="15.75" customHeight="1">
      <c r="E647" s="19"/>
      <c r="G647" s="18"/>
    </row>
    <row r="648" spans="5:7" ht="15.75" customHeight="1">
      <c r="E648" s="19"/>
      <c r="G648" s="18"/>
    </row>
    <row r="649" spans="5:7" ht="15.75" customHeight="1">
      <c r="E649" s="19"/>
      <c r="G649" s="18"/>
    </row>
    <row r="650" spans="5:7" ht="15.75" customHeight="1">
      <c r="E650" s="19"/>
      <c r="G650" s="18"/>
    </row>
    <row r="651" spans="5:7" ht="15.75" customHeight="1">
      <c r="E651" s="19"/>
      <c r="G651" s="18"/>
    </row>
    <row r="652" spans="5:7" ht="15.75" customHeight="1">
      <c r="E652" s="19"/>
      <c r="G652" s="18"/>
    </row>
    <row r="653" spans="5:7" ht="15.75" customHeight="1">
      <c r="E653" s="19"/>
      <c r="G653" s="18"/>
    </row>
    <row r="654" spans="5:7" ht="15.75" customHeight="1">
      <c r="E654" s="19"/>
      <c r="G654" s="18"/>
    </row>
    <row r="655" spans="5:7" ht="15.75" customHeight="1">
      <c r="E655" s="19"/>
      <c r="G655" s="18"/>
    </row>
    <row r="656" spans="5:7" ht="15.75" customHeight="1">
      <c r="E656" s="19"/>
      <c r="G656" s="18"/>
    </row>
    <row r="657" spans="5:7" ht="15.75" customHeight="1">
      <c r="E657" s="19"/>
      <c r="G657" s="18"/>
    </row>
    <row r="658" spans="5:7" ht="15.75" customHeight="1">
      <c r="E658" s="19"/>
      <c r="G658" s="18"/>
    </row>
    <row r="659" spans="5:7" ht="15.75" customHeight="1">
      <c r="E659" s="19"/>
      <c r="G659" s="18"/>
    </row>
    <row r="660" spans="5:7" ht="15.75" customHeight="1">
      <c r="E660" s="19"/>
      <c r="G660" s="18"/>
    </row>
    <row r="661" spans="5:7" ht="15.75" customHeight="1">
      <c r="E661" s="19"/>
      <c r="G661" s="18"/>
    </row>
    <row r="662" spans="5:7" ht="15.75" customHeight="1">
      <c r="E662" s="19"/>
      <c r="G662" s="18"/>
    </row>
    <row r="663" spans="5:7" ht="15.75" customHeight="1">
      <c r="E663" s="19"/>
      <c r="G663" s="18"/>
    </row>
    <row r="664" spans="5:7" ht="15.75" customHeight="1">
      <c r="E664" s="19"/>
      <c r="G664" s="18"/>
    </row>
    <row r="665" spans="5:7" ht="15.75" customHeight="1">
      <c r="E665" s="19"/>
      <c r="G665" s="18"/>
    </row>
    <row r="666" spans="5:7" ht="15.75" customHeight="1">
      <c r="E666" s="19"/>
      <c r="G666" s="18"/>
    </row>
    <row r="667" spans="5:7" ht="15.75" customHeight="1">
      <c r="E667" s="19"/>
      <c r="G667" s="18"/>
    </row>
    <row r="668" spans="5:7" ht="15.75" customHeight="1">
      <c r="E668" s="19"/>
      <c r="G668" s="18"/>
    </row>
    <row r="669" spans="5:7" ht="15.75" customHeight="1">
      <c r="E669" s="19"/>
      <c r="G669" s="18"/>
    </row>
    <row r="670" spans="5:7" ht="15.75" customHeight="1">
      <c r="E670" s="19"/>
      <c r="G670" s="18"/>
    </row>
    <row r="671" spans="5:7" ht="15.75" customHeight="1">
      <c r="E671" s="19"/>
      <c r="G671" s="18"/>
    </row>
    <row r="672" spans="5:7" ht="15.75" customHeight="1">
      <c r="E672" s="19"/>
      <c r="G672" s="18"/>
    </row>
    <row r="673" spans="5:7" ht="15.75" customHeight="1">
      <c r="E673" s="19"/>
      <c r="G673" s="18"/>
    </row>
    <row r="674" spans="5:7" ht="15.75" customHeight="1">
      <c r="E674" s="19"/>
      <c r="G674" s="18"/>
    </row>
    <row r="675" spans="5:7" ht="15.75" customHeight="1">
      <c r="E675" s="19"/>
      <c r="G675" s="18"/>
    </row>
    <row r="676" spans="5:7" ht="15.75" customHeight="1">
      <c r="E676" s="19"/>
      <c r="G676" s="18"/>
    </row>
    <row r="677" spans="5:7" ht="15.75" customHeight="1">
      <c r="E677" s="19"/>
      <c r="G677" s="18"/>
    </row>
    <row r="678" spans="5:7" ht="15.75" customHeight="1">
      <c r="E678" s="19"/>
      <c r="G678" s="18"/>
    </row>
    <row r="679" spans="5:7" ht="15.75" customHeight="1">
      <c r="E679" s="19"/>
      <c r="G679" s="18"/>
    </row>
    <row r="680" spans="5:7" ht="15.75" customHeight="1">
      <c r="E680" s="19"/>
      <c r="G680" s="18"/>
    </row>
    <row r="681" spans="5:7" ht="15.75" customHeight="1">
      <c r="E681" s="19"/>
      <c r="G681" s="18"/>
    </row>
    <row r="682" spans="5:7" ht="15.75" customHeight="1">
      <c r="E682" s="19"/>
      <c r="G682" s="18"/>
    </row>
    <row r="683" spans="5:7" ht="15.75" customHeight="1">
      <c r="E683" s="19"/>
      <c r="G683" s="18"/>
    </row>
    <row r="684" spans="5:7" ht="15.75" customHeight="1">
      <c r="E684" s="19"/>
      <c r="G684" s="18"/>
    </row>
    <row r="685" spans="5:7" ht="15.75" customHeight="1">
      <c r="E685" s="19"/>
      <c r="G685" s="18"/>
    </row>
    <row r="686" spans="5:7" ht="15.75" customHeight="1">
      <c r="E686" s="19"/>
      <c r="G686" s="18"/>
    </row>
    <row r="687" spans="5:7" ht="15.75" customHeight="1">
      <c r="E687" s="19"/>
      <c r="G687" s="18"/>
    </row>
    <row r="688" spans="5:7" ht="15.75" customHeight="1">
      <c r="E688" s="19"/>
      <c r="G688" s="18"/>
    </row>
    <row r="689" spans="5:7" ht="15.75" customHeight="1">
      <c r="E689" s="19"/>
      <c r="G689" s="18"/>
    </row>
    <row r="690" spans="5:7" ht="15.75" customHeight="1">
      <c r="E690" s="19"/>
      <c r="G690" s="18"/>
    </row>
    <row r="691" spans="5:7" ht="15.75" customHeight="1">
      <c r="E691" s="19"/>
      <c r="G691" s="18"/>
    </row>
    <row r="692" spans="5:7" ht="15.75" customHeight="1">
      <c r="E692" s="19"/>
      <c r="G692" s="18"/>
    </row>
    <row r="693" spans="5:7" ht="15.75" customHeight="1">
      <c r="E693" s="19"/>
      <c r="G693" s="18"/>
    </row>
    <row r="694" spans="5:7" ht="15.75" customHeight="1">
      <c r="E694" s="19"/>
      <c r="G694" s="18"/>
    </row>
    <row r="695" spans="5:7" ht="15.75" customHeight="1">
      <c r="E695" s="19"/>
      <c r="G695" s="18"/>
    </row>
    <row r="696" spans="5:7" ht="15.75" customHeight="1">
      <c r="E696" s="19"/>
      <c r="G696" s="18"/>
    </row>
    <row r="697" spans="5:7" ht="15.75" customHeight="1">
      <c r="E697" s="19"/>
      <c r="G697" s="18"/>
    </row>
    <row r="698" spans="5:7" ht="15.75" customHeight="1">
      <c r="E698" s="19"/>
      <c r="G698" s="18"/>
    </row>
    <row r="699" spans="5:7" ht="15.75" customHeight="1">
      <c r="E699" s="19"/>
      <c r="G699" s="18"/>
    </row>
    <row r="700" spans="5:7" ht="15.75" customHeight="1">
      <c r="E700" s="19"/>
      <c r="G700" s="18"/>
    </row>
    <row r="701" spans="5:7" ht="15.75" customHeight="1">
      <c r="E701" s="19"/>
      <c r="G701" s="18"/>
    </row>
    <row r="702" spans="5:7" ht="15.75" customHeight="1">
      <c r="E702" s="19"/>
      <c r="G702" s="18"/>
    </row>
    <row r="703" spans="5:7" ht="15.75" customHeight="1">
      <c r="E703" s="19"/>
      <c r="G703" s="18"/>
    </row>
    <row r="704" spans="5:7" ht="15.75" customHeight="1">
      <c r="E704" s="19"/>
      <c r="G704" s="18"/>
    </row>
    <row r="705" spans="5:7" ht="15.75" customHeight="1">
      <c r="E705" s="19"/>
      <c r="G705" s="18"/>
    </row>
    <row r="706" spans="5:7" ht="15.75" customHeight="1">
      <c r="E706" s="19"/>
      <c r="G706" s="18"/>
    </row>
    <row r="707" spans="5:7" ht="15.75" customHeight="1">
      <c r="E707" s="19"/>
      <c r="G707" s="18"/>
    </row>
    <row r="708" spans="5:7" ht="15.75" customHeight="1">
      <c r="E708" s="19"/>
      <c r="G708" s="18"/>
    </row>
    <row r="709" spans="5:7" ht="15.75" customHeight="1">
      <c r="E709" s="19"/>
      <c r="G709" s="18"/>
    </row>
    <row r="710" spans="5:7" ht="15.75" customHeight="1">
      <c r="E710" s="19"/>
      <c r="G710" s="18"/>
    </row>
    <row r="711" spans="5:7" ht="15.75" customHeight="1">
      <c r="E711" s="19"/>
      <c r="G711" s="18"/>
    </row>
    <row r="712" spans="5:7" ht="15.75" customHeight="1">
      <c r="E712" s="19"/>
      <c r="G712" s="18"/>
    </row>
    <row r="713" spans="5:7" ht="15.75" customHeight="1">
      <c r="E713" s="19"/>
      <c r="G713" s="18"/>
    </row>
    <row r="714" spans="5:7" ht="15.75" customHeight="1">
      <c r="E714" s="19"/>
      <c r="G714" s="18"/>
    </row>
    <row r="715" spans="5:7" ht="15.75" customHeight="1">
      <c r="E715" s="19"/>
      <c r="G715" s="18"/>
    </row>
    <row r="716" spans="5:7" ht="15.75" customHeight="1">
      <c r="E716" s="19"/>
      <c r="G716" s="18"/>
    </row>
    <row r="717" spans="5:7" ht="15.75" customHeight="1">
      <c r="E717" s="19"/>
      <c r="G717" s="18"/>
    </row>
    <row r="718" spans="5:7" ht="15.75" customHeight="1">
      <c r="E718" s="19"/>
      <c r="G718" s="18"/>
    </row>
    <row r="719" spans="5:7" ht="15.75" customHeight="1">
      <c r="E719" s="19"/>
      <c r="G719" s="18"/>
    </row>
    <row r="720" spans="5:7" ht="15.75" customHeight="1">
      <c r="E720" s="19"/>
      <c r="G720" s="18"/>
    </row>
    <row r="721" spans="5:7" ht="15.75" customHeight="1">
      <c r="E721" s="19"/>
      <c r="G721" s="18"/>
    </row>
    <row r="722" spans="5:7" ht="15.75" customHeight="1">
      <c r="E722" s="19"/>
      <c r="G722" s="18"/>
    </row>
    <row r="723" spans="5:7" ht="15.75" customHeight="1">
      <c r="E723" s="19"/>
      <c r="G723" s="18"/>
    </row>
    <row r="724" spans="5:7" ht="15.75" customHeight="1">
      <c r="E724" s="19"/>
      <c r="G724" s="18"/>
    </row>
    <row r="725" spans="5:7" ht="15.75" customHeight="1">
      <c r="E725" s="19"/>
      <c r="G725" s="18"/>
    </row>
    <row r="726" spans="5:7" ht="15.75" customHeight="1">
      <c r="E726" s="19"/>
      <c r="G726" s="18"/>
    </row>
    <row r="727" spans="5:7" ht="15.75" customHeight="1">
      <c r="E727" s="19"/>
      <c r="G727" s="18"/>
    </row>
    <row r="728" spans="5:7" ht="15.75" customHeight="1">
      <c r="E728" s="19"/>
      <c r="G728" s="18"/>
    </row>
    <row r="729" spans="5:7" ht="15.75" customHeight="1">
      <c r="E729" s="19"/>
      <c r="G729" s="18"/>
    </row>
    <row r="730" spans="5:7" ht="15.75" customHeight="1">
      <c r="E730" s="19"/>
      <c r="G730" s="18"/>
    </row>
    <row r="731" spans="5:7" ht="15.75" customHeight="1">
      <c r="E731" s="19"/>
      <c r="G731" s="18"/>
    </row>
    <row r="732" spans="5:7" ht="15.75" customHeight="1">
      <c r="E732" s="19"/>
      <c r="G732" s="18"/>
    </row>
    <row r="733" spans="5:7" ht="15.75" customHeight="1">
      <c r="E733" s="19"/>
      <c r="G733" s="18"/>
    </row>
    <row r="734" spans="5:7" ht="15.75" customHeight="1">
      <c r="E734" s="19"/>
      <c r="G734" s="18"/>
    </row>
    <row r="735" spans="5:7" ht="15.75" customHeight="1">
      <c r="E735" s="19"/>
      <c r="G735" s="18"/>
    </row>
    <row r="736" spans="5:7" ht="15.75" customHeight="1">
      <c r="E736" s="19"/>
      <c r="G736" s="18"/>
    </row>
    <row r="737" spans="5:7" ht="15.75" customHeight="1">
      <c r="E737" s="19"/>
      <c r="G737" s="18"/>
    </row>
    <row r="738" spans="5:7" ht="15.75" customHeight="1">
      <c r="E738" s="19"/>
      <c r="G738" s="18"/>
    </row>
    <row r="739" spans="5:7" ht="15.75" customHeight="1">
      <c r="E739" s="19"/>
      <c r="G739" s="18"/>
    </row>
    <row r="740" spans="5:7" ht="15.75" customHeight="1">
      <c r="E740" s="19"/>
      <c r="G740" s="18"/>
    </row>
    <row r="741" spans="5:7" ht="15.75" customHeight="1">
      <c r="E741" s="19"/>
      <c r="G741" s="18"/>
    </row>
    <row r="742" spans="5:7" ht="15.75" customHeight="1">
      <c r="E742" s="19"/>
      <c r="G742" s="18"/>
    </row>
    <row r="743" spans="5:7" ht="15.75" customHeight="1">
      <c r="E743" s="19"/>
      <c r="G743" s="18"/>
    </row>
    <row r="744" spans="5:7" ht="15.75" customHeight="1">
      <c r="E744" s="19"/>
      <c r="G744" s="18"/>
    </row>
    <row r="745" spans="5:7" ht="15.75" customHeight="1">
      <c r="E745" s="19"/>
      <c r="G745" s="18"/>
    </row>
    <row r="746" spans="5:7" ht="15.75" customHeight="1">
      <c r="E746" s="19"/>
      <c r="G746" s="18"/>
    </row>
    <row r="747" spans="5:7" ht="15.75" customHeight="1">
      <c r="E747" s="19"/>
      <c r="G747" s="18"/>
    </row>
    <row r="748" spans="5:7" ht="15.75" customHeight="1">
      <c r="E748" s="19"/>
      <c r="G748" s="18"/>
    </row>
    <row r="749" spans="5:7" ht="15.75" customHeight="1">
      <c r="E749" s="19"/>
      <c r="G749" s="18"/>
    </row>
    <row r="750" spans="5:7" ht="15.75" customHeight="1">
      <c r="E750" s="19"/>
      <c r="G750" s="18"/>
    </row>
    <row r="751" spans="5:7" ht="15.75" customHeight="1">
      <c r="E751" s="19"/>
      <c r="G751" s="18"/>
    </row>
    <row r="752" spans="5:7" ht="15.75" customHeight="1">
      <c r="E752" s="19"/>
      <c r="G752" s="18"/>
    </row>
    <row r="753" spans="5:7" ht="15.75" customHeight="1">
      <c r="E753" s="19"/>
      <c r="G753" s="18"/>
    </row>
    <row r="754" spans="5:7" ht="15.75" customHeight="1">
      <c r="E754" s="19"/>
      <c r="G754" s="18"/>
    </row>
    <row r="755" spans="5:7" ht="15.75" customHeight="1">
      <c r="E755" s="19"/>
      <c r="G755" s="18"/>
    </row>
    <row r="756" spans="5:7" ht="15.75" customHeight="1">
      <c r="E756" s="19"/>
      <c r="G756" s="18"/>
    </row>
    <row r="757" spans="5:7" ht="15.75" customHeight="1">
      <c r="E757" s="19"/>
      <c r="G757" s="18"/>
    </row>
    <row r="758" spans="5:7" ht="15.75" customHeight="1">
      <c r="E758" s="19"/>
      <c r="G758" s="18"/>
    </row>
    <row r="759" spans="5:7" ht="15.75" customHeight="1">
      <c r="E759" s="19"/>
      <c r="G759" s="18"/>
    </row>
    <row r="760" spans="5:7" ht="15.75" customHeight="1">
      <c r="E760" s="19"/>
      <c r="G760" s="18"/>
    </row>
    <row r="761" spans="5:7" ht="15.75" customHeight="1">
      <c r="E761" s="19"/>
      <c r="G761" s="18"/>
    </row>
    <row r="762" spans="5:7" ht="15.75" customHeight="1">
      <c r="E762" s="19"/>
      <c r="G762" s="18"/>
    </row>
    <row r="763" spans="5:7" ht="15.75" customHeight="1">
      <c r="E763" s="19"/>
      <c r="G763" s="18"/>
    </row>
    <row r="764" spans="5:7" ht="15.75" customHeight="1">
      <c r="E764" s="19"/>
      <c r="G764" s="18"/>
    </row>
    <row r="765" spans="5:7" ht="15.75" customHeight="1">
      <c r="E765" s="19"/>
      <c r="G765" s="18"/>
    </row>
    <row r="766" spans="5:7" ht="15.75" customHeight="1">
      <c r="E766" s="19"/>
      <c r="G766" s="18"/>
    </row>
    <row r="767" spans="5:7" ht="15.75" customHeight="1">
      <c r="E767" s="19"/>
      <c r="G767" s="18"/>
    </row>
    <row r="768" spans="5:7" ht="15.75" customHeight="1">
      <c r="E768" s="19"/>
      <c r="G768" s="18"/>
    </row>
    <row r="769" spans="5:7" ht="15.75" customHeight="1">
      <c r="E769" s="19"/>
      <c r="G769" s="18"/>
    </row>
    <row r="770" spans="5:7" ht="15.75" customHeight="1">
      <c r="E770" s="19"/>
      <c r="G770" s="18"/>
    </row>
    <row r="771" spans="5:7" ht="15.75" customHeight="1">
      <c r="E771" s="19"/>
      <c r="G771" s="18"/>
    </row>
    <row r="772" spans="5:7" ht="15.75" customHeight="1">
      <c r="E772" s="19"/>
      <c r="G772" s="18"/>
    </row>
    <row r="773" spans="5:7" ht="15.75" customHeight="1">
      <c r="E773" s="19"/>
      <c r="G773" s="18"/>
    </row>
    <row r="774" spans="5:7" ht="15.75" customHeight="1">
      <c r="E774" s="19"/>
      <c r="G774" s="18"/>
    </row>
    <row r="775" spans="5:7" ht="15.75" customHeight="1">
      <c r="E775" s="19"/>
      <c r="G775" s="18"/>
    </row>
    <row r="776" spans="5:7" ht="15.75" customHeight="1">
      <c r="E776" s="19"/>
      <c r="G776" s="18"/>
    </row>
    <row r="777" spans="5:7" ht="15.75" customHeight="1">
      <c r="E777" s="19"/>
      <c r="G777" s="18"/>
    </row>
    <row r="778" spans="5:7" ht="15.75" customHeight="1">
      <c r="E778" s="19"/>
      <c r="G778" s="18"/>
    </row>
    <row r="779" spans="5:7" ht="15.75" customHeight="1">
      <c r="E779" s="19"/>
      <c r="G779" s="18"/>
    </row>
    <row r="780" spans="5:7" ht="15.75" customHeight="1">
      <c r="E780" s="19"/>
      <c r="G780" s="18"/>
    </row>
    <row r="781" spans="5:7" ht="15.75" customHeight="1">
      <c r="E781" s="19"/>
      <c r="G781" s="18"/>
    </row>
    <row r="782" spans="5:7" ht="15.75" customHeight="1">
      <c r="E782" s="19"/>
      <c r="G782" s="18"/>
    </row>
    <row r="783" spans="5:7" ht="15.75" customHeight="1">
      <c r="E783" s="19"/>
      <c r="G783" s="18"/>
    </row>
    <row r="784" spans="5:7" ht="15.75" customHeight="1">
      <c r="E784" s="19"/>
      <c r="G784" s="18"/>
    </row>
    <row r="785" spans="5:7" ht="15.75" customHeight="1">
      <c r="E785" s="19"/>
      <c r="G785" s="18"/>
    </row>
    <row r="786" spans="5:7" ht="15.75" customHeight="1">
      <c r="E786" s="19"/>
      <c r="G786" s="18"/>
    </row>
    <row r="787" spans="5:7" ht="15.75" customHeight="1">
      <c r="E787" s="19"/>
      <c r="G787" s="18"/>
    </row>
    <row r="788" spans="5:7" ht="15.75" customHeight="1">
      <c r="E788" s="19"/>
      <c r="G788" s="18"/>
    </row>
    <row r="789" spans="5:7" ht="15.75" customHeight="1">
      <c r="E789" s="19"/>
      <c r="G789" s="18"/>
    </row>
    <row r="790" spans="5:7" ht="15.75" customHeight="1">
      <c r="E790" s="19"/>
      <c r="G790" s="18"/>
    </row>
    <row r="791" spans="5:7" ht="15.75" customHeight="1">
      <c r="E791" s="19"/>
      <c r="G791" s="18"/>
    </row>
    <row r="792" spans="5:7" ht="15.75" customHeight="1">
      <c r="E792" s="19"/>
      <c r="G792" s="18"/>
    </row>
    <row r="793" spans="5:7" ht="15.75" customHeight="1">
      <c r="E793" s="19"/>
      <c r="G793" s="18"/>
    </row>
    <row r="794" spans="5:7" ht="15.75" customHeight="1">
      <c r="E794" s="19"/>
      <c r="G794" s="18"/>
    </row>
    <row r="795" spans="5:7" ht="15.75" customHeight="1">
      <c r="E795" s="19"/>
      <c r="G795" s="18"/>
    </row>
    <row r="796" spans="5:7" ht="15.75" customHeight="1">
      <c r="E796" s="19"/>
      <c r="G796" s="18"/>
    </row>
    <row r="797" spans="5:7" ht="15.75" customHeight="1">
      <c r="E797" s="19"/>
      <c r="G797" s="18"/>
    </row>
    <row r="798" spans="5:7" ht="15.75" customHeight="1">
      <c r="E798" s="19"/>
      <c r="G798" s="18"/>
    </row>
    <row r="799" spans="5:7" ht="15.75" customHeight="1">
      <c r="E799" s="19"/>
      <c r="G799" s="18"/>
    </row>
    <row r="800" spans="5:7" ht="15.75" customHeight="1">
      <c r="E800" s="19"/>
      <c r="G800" s="18"/>
    </row>
    <row r="801" spans="5:7" ht="15.75" customHeight="1">
      <c r="E801" s="19"/>
      <c r="G801" s="18"/>
    </row>
    <row r="802" spans="5:7" ht="15.75" customHeight="1">
      <c r="E802" s="19"/>
      <c r="G802" s="18"/>
    </row>
    <row r="803" spans="5:7" ht="15.75" customHeight="1">
      <c r="E803" s="19"/>
      <c r="G803" s="18"/>
    </row>
    <row r="804" spans="5:7" ht="15.75" customHeight="1">
      <c r="E804" s="19"/>
      <c r="G804" s="18"/>
    </row>
    <row r="805" spans="5:7" ht="15.75" customHeight="1">
      <c r="E805" s="19"/>
      <c r="G805" s="18"/>
    </row>
    <row r="806" spans="5:7" ht="15.75" customHeight="1">
      <c r="E806" s="19"/>
      <c r="G806" s="18"/>
    </row>
    <row r="807" spans="5:7" ht="15.75" customHeight="1">
      <c r="E807" s="19"/>
      <c r="G807" s="18"/>
    </row>
    <row r="808" spans="5:7" ht="15.75" customHeight="1">
      <c r="E808" s="19"/>
      <c r="G808" s="18"/>
    </row>
    <row r="809" spans="5:7" ht="15.75" customHeight="1">
      <c r="E809" s="19"/>
      <c r="G809" s="18"/>
    </row>
    <row r="810" spans="5:7" ht="15.75" customHeight="1">
      <c r="E810" s="19"/>
      <c r="G810" s="18"/>
    </row>
    <row r="811" spans="5:7" ht="15.75" customHeight="1">
      <c r="E811" s="19"/>
      <c r="G811" s="18"/>
    </row>
    <row r="812" spans="5:7" ht="15.75" customHeight="1">
      <c r="E812" s="19"/>
      <c r="G812" s="18"/>
    </row>
    <row r="813" spans="5:7" ht="15.75" customHeight="1">
      <c r="E813" s="19"/>
      <c r="G813" s="18"/>
    </row>
    <row r="814" spans="5:7" ht="15.75" customHeight="1">
      <c r="E814" s="19"/>
      <c r="G814" s="18"/>
    </row>
    <row r="815" spans="5:7" ht="15.75" customHeight="1">
      <c r="E815" s="19"/>
      <c r="G815" s="18"/>
    </row>
    <row r="816" spans="5:7" ht="15.75" customHeight="1">
      <c r="E816" s="19"/>
      <c r="G816" s="18"/>
    </row>
    <row r="817" spans="5:7" ht="15.75" customHeight="1">
      <c r="E817" s="19"/>
      <c r="G817" s="18"/>
    </row>
    <row r="818" spans="5:7" ht="15.75" customHeight="1">
      <c r="E818" s="19"/>
      <c r="G818" s="18"/>
    </row>
    <row r="819" spans="5:7" ht="15.75" customHeight="1">
      <c r="E819" s="19"/>
      <c r="G819" s="18"/>
    </row>
    <row r="820" spans="5:7" ht="15.75" customHeight="1">
      <c r="E820" s="19"/>
      <c r="G820" s="18"/>
    </row>
    <row r="821" spans="5:7" ht="15.75" customHeight="1">
      <c r="E821" s="19"/>
      <c r="G821" s="18"/>
    </row>
    <row r="822" spans="5:7" ht="15.75" customHeight="1">
      <c r="E822" s="19"/>
      <c r="G822" s="18"/>
    </row>
    <row r="823" spans="5:7" ht="15.75" customHeight="1">
      <c r="E823" s="19"/>
      <c r="G823" s="18"/>
    </row>
    <row r="824" spans="5:7" ht="15.75" customHeight="1">
      <c r="E824" s="19"/>
      <c r="G824" s="18"/>
    </row>
    <row r="825" spans="5:7" ht="15.75" customHeight="1">
      <c r="E825" s="19"/>
      <c r="G825" s="18"/>
    </row>
    <row r="826" spans="5:7" ht="15.75" customHeight="1">
      <c r="E826" s="19"/>
      <c r="G826" s="18"/>
    </row>
    <row r="827" spans="5:7" ht="15.75" customHeight="1">
      <c r="E827" s="19"/>
      <c r="G827" s="18"/>
    </row>
    <row r="828" spans="5:7" ht="15.75" customHeight="1">
      <c r="E828" s="19"/>
      <c r="G828" s="18"/>
    </row>
    <row r="829" spans="5:7" ht="15.75" customHeight="1">
      <c r="E829" s="19"/>
      <c r="G829" s="18"/>
    </row>
    <row r="830" spans="5:7" ht="15.75" customHeight="1">
      <c r="E830" s="19"/>
      <c r="G830" s="18"/>
    </row>
    <row r="831" spans="5:7" ht="15.75" customHeight="1">
      <c r="E831" s="19"/>
      <c r="G831" s="18"/>
    </row>
    <row r="832" spans="5:7" ht="15.75" customHeight="1">
      <c r="E832" s="19"/>
      <c r="G832" s="18"/>
    </row>
    <row r="833" spans="5:7" ht="15.75" customHeight="1">
      <c r="E833" s="19"/>
      <c r="G833" s="18"/>
    </row>
    <row r="834" spans="5:7" ht="15.75" customHeight="1">
      <c r="E834" s="19"/>
      <c r="G834" s="18"/>
    </row>
    <row r="835" spans="5:7" ht="15.75" customHeight="1">
      <c r="E835" s="19"/>
      <c r="G835" s="18"/>
    </row>
    <row r="836" spans="5:7" ht="15.75" customHeight="1">
      <c r="E836" s="19"/>
      <c r="G836" s="18"/>
    </row>
    <row r="837" spans="5:7" ht="15.75" customHeight="1">
      <c r="E837" s="19"/>
      <c r="G837" s="18"/>
    </row>
    <row r="838" spans="5:7" ht="15.75" customHeight="1">
      <c r="E838" s="19"/>
      <c r="G838" s="18"/>
    </row>
    <row r="839" spans="5:7" ht="15.75" customHeight="1">
      <c r="E839" s="19"/>
      <c r="G839" s="18"/>
    </row>
    <row r="840" spans="5:7" ht="15.75" customHeight="1">
      <c r="E840" s="19"/>
      <c r="G840" s="18"/>
    </row>
    <row r="841" spans="5:7" ht="15.75" customHeight="1">
      <c r="E841" s="19"/>
      <c r="G841" s="18"/>
    </row>
    <row r="842" spans="5:7" ht="15.75" customHeight="1">
      <c r="E842" s="19"/>
      <c r="G842" s="18"/>
    </row>
    <row r="843" spans="5:7" ht="15.75" customHeight="1">
      <c r="E843" s="19"/>
      <c r="G843" s="18"/>
    </row>
    <row r="844" spans="5:7" ht="15.75" customHeight="1">
      <c r="E844" s="19"/>
      <c r="G844" s="18"/>
    </row>
    <row r="845" spans="5:7" ht="15.75" customHeight="1">
      <c r="E845" s="19"/>
      <c r="G845" s="18"/>
    </row>
    <row r="846" spans="5:7" ht="15.75" customHeight="1">
      <c r="E846" s="19"/>
      <c r="G846" s="18"/>
    </row>
    <row r="847" spans="5:7" ht="15.75" customHeight="1">
      <c r="E847" s="19"/>
      <c r="G847" s="18"/>
    </row>
    <row r="848" spans="5:7" ht="15.75" customHeight="1">
      <c r="E848" s="19"/>
      <c r="G848" s="18"/>
    </row>
    <row r="849" spans="5:7" ht="15.75" customHeight="1">
      <c r="E849" s="19"/>
      <c r="G849" s="18"/>
    </row>
    <row r="850" spans="5:7" ht="15.75" customHeight="1">
      <c r="E850" s="19"/>
      <c r="G850" s="18"/>
    </row>
    <row r="851" spans="5:7" ht="15.75" customHeight="1">
      <c r="E851" s="19"/>
      <c r="G851" s="18"/>
    </row>
    <row r="852" spans="5:7" ht="15.75" customHeight="1">
      <c r="E852" s="19"/>
      <c r="G852" s="18"/>
    </row>
    <row r="853" spans="5:7" ht="15.75" customHeight="1">
      <c r="E853" s="19"/>
      <c r="G853" s="18"/>
    </row>
    <row r="854" spans="5:7" ht="15.75" customHeight="1">
      <c r="E854" s="19"/>
      <c r="G854" s="18"/>
    </row>
    <row r="855" spans="5:7" ht="15.75" customHeight="1">
      <c r="E855" s="19"/>
      <c r="G855" s="18"/>
    </row>
    <row r="856" spans="5:7" ht="15.75" customHeight="1">
      <c r="E856" s="19"/>
      <c r="G856" s="18"/>
    </row>
    <row r="857" spans="5:7" ht="15.75" customHeight="1">
      <c r="E857" s="19"/>
      <c r="G857" s="18"/>
    </row>
    <row r="858" spans="5:7" ht="15.75" customHeight="1">
      <c r="E858" s="19"/>
      <c r="G858" s="18"/>
    </row>
    <row r="859" spans="5:7" ht="15.75" customHeight="1">
      <c r="E859" s="19"/>
      <c r="G859" s="18"/>
    </row>
    <row r="860" spans="5:7" ht="15.75" customHeight="1">
      <c r="E860" s="19"/>
      <c r="G860" s="18"/>
    </row>
    <row r="861" spans="5:7" ht="15.75" customHeight="1">
      <c r="E861" s="19"/>
      <c r="G861" s="18"/>
    </row>
    <row r="862" spans="5:7" ht="15.75" customHeight="1">
      <c r="E862" s="19"/>
      <c r="G862" s="18"/>
    </row>
    <row r="863" spans="5:7" ht="15.75" customHeight="1">
      <c r="E863" s="19"/>
      <c r="G863" s="18"/>
    </row>
    <row r="864" spans="5:7" ht="15.75" customHeight="1">
      <c r="E864" s="19"/>
      <c r="G864" s="18"/>
    </row>
    <row r="865" spans="5:7" ht="15.75" customHeight="1">
      <c r="E865" s="19"/>
      <c r="G865" s="18"/>
    </row>
    <row r="866" spans="5:7" ht="15.75" customHeight="1">
      <c r="E866" s="19"/>
      <c r="G866" s="18"/>
    </row>
    <row r="867" spans="5:7" ht="15.75" customHeight="1">
      <c r="E867" s="19"/>
      <c r="G867" s="18"/>
    </row>
    <row r="868" spans="5:7" ht="15.75" customHeight="1">
      <c r="E868" s="19"/>
      <c r="G868" s="18"/>
    </row>
    <row r="869" spans="5:7" ht="15.75" customHeight="1">
      <c r="E869" s="19"/>
      <c r="G869" s="18"/>
    </row>
    <row r="870" spans="5:7" ht="15.75" customHeight="1">
      <c r="E870" s="19"/>
      <c r="G870" s="18"/>
    </row>
    <row r="871" spans="5:7" ht="15.75" customHeight="1">
      <c r="E871" s="19"/>
      <c r="G871" s="18"/>
    </row>
    <row r="872" spans="5:7" ht="15.75" customHeight="1">
      <c r="E872" s="19"/>
      <c r="G872" s="18"/>
    </row>
    <row r="873" spans="5:7" ht="15.75" customHeight="1">
      <c r="E873" s="19"/>
      <c r="G873" s="18"/>
    </row>
    <row r="874" spans="5:7" ht="15.75" customHeight="1">
      <c r="E874" s="19"/>
      <c r="G874" s="18"/>
    </row>
    <row r="875" spans="5:7" ht="15.75" customHeight="1">
      <c r="E875" s="19"/>
      <c r="G875" s="18"/>
    </row>
    <row r="876" spans="5:7" ht="15.75" customHeight="1">
      <c r="E876" s="19"/>
      <c r="G876" s="18"/>
    </row>
    <row r="877" spans="5:7" ht="15.75" customHeight="1">
      <c r="E877" s="19"/>
      <c r="G877" s="18"/>
    </row>
    <row r="878" spans="5:7" ht="15.75" customHeight="1">
      <c r="E878" s="19"/>
      <c r="G878" s="18"/>
    </row>
    <row r="879" spans="5:7" ht="15.75" customHeight="1">
      <c r="E879" s="19"/>
      <c r="G879" s="18"/>
    </row>
    <row r="880" spans="5:7" ht="15.75" customHeight="1">
      <c r="E880" s="19"/>
      <c r="G880" s="18"/>
    </row>
    <row r="881" spans="5:7" ht="15.75" customHeight="1">
      <c r="E881" s="19"/>
      <c r="G881" s="18"/>
    </row>
    <row r="882" spans="5:7" ht="15.75" customHeight="1">
      <c r="E882" s="19"/>
      <c r="G882" s="18"/>
    </row>
    <row r="883" spans="5:7" ht="15.75" customHeight="1">
      <c r="E883" s="19"/>
      <c r="G883" s="18"/>
    </row>
    <row r="884" spans="5:7" ht="15.75" customHeight="1">
      <c r="E884" s="19"/>
      <c r="G884" s="18"/>
    </row>
    <row r="885" spans="5:7" ht="15.75" customHeight="1">
      <c r="E885" s="19"/>
      <c r="G885" s="18"/>
    </row>
    <row r="886" spans="5:7" ht="15.75" customHeight="1">
      <c r="E886" s="19"/>
      <c r="G886" s="18"/>
    </row>
    <row r="887" spans="5:7" ht="15.75" customHeight="1">
      <c r="E887" s="19"/>
      <c r="G887" s="18"/>
    </row>
    <row r="888" spans="5:7" ht="15.75" customHeight="1">
      <c r="E888" s="19"/>
      <c r="G888" s="18"/>
    </row>
    <row r="889" spans="5:7" ht="15.75" customHeight="1">
      <c r="E889" s="19"/>
      <c r="G889" s="18"/>
    </row>
    <row r="890" spans="5:7" ht="15.75" customHeight="1">
      <c r="E890" s="19"/>
      <c r="G890" s="18"/>
    </row>
    <row r="891" spans="5:7" ht="15.75" customHeight="1">
      <c r="E891" s="19"/>
      <c r="G891" s="18"/>
    </row>
    <row r="892" spans="5:7" ht="15.75" customHeight="1">
      <c r="E892" s="19"/>
      <c r="G892" s="18"/>
    </row>
    <row r="893" spans="5:7" ht="15.75" customHeight="1">
      <c r="E893" s="19"/>
      <c r="G893" s="18"/>
    </row>
    <row r="894" spans="5:7" ht="15.75" customHeight="1">
      <c r="E894" s="19"/>
      <c r="G894" s="18"/>
    </row>
    <row r="895" spans="5:7" ht="15.75" customHeight="1">
      <c r="E895" s="19"/>
      <c r="G895" s="18"/>
    </row>
    <row r="896" spans="5:7" ht="15.75" customHeight="1">
      <c r="E896" s="19"/>
      <c r="G896" s="18"/>
    </row>
    <row r="897" spans="5:7" ht="15.75" customHeight="1">
      <c r="E897" s="19"/>
      <c r="G897" s="18"/>
    </row>
    <row r="898" spans="5:7" ht="15.75" customHeight="1">
      <c r="E898" s="19"/>
      <c r="G898" s="18"/>
    </row>
    <row r="899" spans="5:7" ht="15.75" customHeight="1">
      <c r="E899" s="19"/>
      <c r="G899" s="18"/>
    </row>
    <row r="900" spans="5:7" ht="15.75" customHeight="1">
      <c r="E900" s="19"/>
      <c r="G900" s="18"/>
    </row>
    <row r="901" spans="5:7" ht="15.75" customHeight="1">
      <c r="E901" s="19"/>
      <c r="G901" s="18"/>
    </row>
    <row r="902" spans="5:7" ht="15.75" customHeight="1">
      <c r="E902" s="19"/>
      <c r="G902" s="18"/>
    </row>
    <row r="903" spans="5:7" ht="15.75" customHeight="1">
      <c r="E903" s="19"/>
      <c r="G903" s="18"/>
    </row>
    <row r="904" spans="5:7" ht="15.75" customHeight="1">
      <c r="E904" s="19"/>
      <c r="G904" s="18"/>
    </row>
    <row r="905" spans="5:7" ht="15.75" customHeight="1">
      <c r="E905" s="19"/>
      <c r="G905" s="18"/>
    </row>
    <row r="906" spans="5:7" ht="15.75" customHeight="1">
      <c r="E906" s="19"/>
      <c r="G906" s="18"/>
    </row>
    <row r="907" spans="5:7" ht="15.75" customHeight="1">
      <c r="E907" s="19"/>
      <c r="G907" s="18"/>
    </row>
    <row r="908" spans="5:7" ht="15.75" customHeight="1">
      <c r="E908" s="19"/>
      <c r="G908" s="18"/>
    </row>
    <row r="909" spans="5:7" ht="15.75" customHeight="1">
      <c r="E909" s="19"/>
      <c r="G909" s="18"/>
    </row>
    <row r="910" spans="5:7" ht="15.75" customHeight="1">
      <c r="E910" s="19"/>
      <c r="G910" s="18"/>
    </row>
    <row r="911" spans="5:7" ht="15.75" customHeight="1">
      <c r="E911" s="19"/>
      <c r="G911" s="18"/>
    </row>
    <row r="912" spans="5:7" ht="15.75" customHeight="1">
      <c r="E912" s="19"/>
      <c r="G912" s="18"/>
    </row>
    <row r="913" spans="5:7" ht="15.75" customHeight="1">
      <c r="E913" s="19"/>
      <c r="G913" s="18"/>
    </row>
    <row r="914" spans="5:7" ht="15.75" customHeight="1">
      <c r="E914" s="19"/>
      <c r="G914" s="18"/>
    </row>
    <row r="915" spans="5:7" ht="15.75" customHeight="1">
      <c r="E915" s="19"/>
      <c r="G915" s="18"/>
    </row>
    <row r="916" spans="5:7" ht="15.75" customHeight="1">
      <c r="E916" s="19"/>
      <c r="G916" s="18"/>
    </row>
    <row r="917" spans="5:7" ht="15.75" customHeight="1">
      <c r="E917" s="19"/>
      <c r="G917" s="18"/>
    </row>
    <row r="918" spans="5:7" ht="15.75" customHeight="1">
      <c r="E918" s="19"/>
      <c r="G918" s="18"/>
    </row>
    <row r="919" spans="5:7" ht="15.75" customHeight="1">
      <c r="E919" s="19"/>
      <c r="G919" s="18"/>
    </row>
    <row r="920" spans="5:7" ht="15.75" customHeight="1">
      <c r="E920" s="19"/>
      <c r="G920" s="18"/>
    </row>
    <row r="921" spans="5:7" ht="15.75" customHeight="1">
      <c r="E921" s="19"/>
      <c r="G921" s="18"/>
    </row>
    <row r="922" spans="5:7" ht="15.75" customHeight="1">
      <c r="E922" s="19"/>
      <c r="G922" s="18"/>
    </row>
    <row r="923" spans="5:7" ht="15.75" customHeight="1">
      <c r="E923" s="19"/>
      <c r="G923" s="18"/>
    </row>
    <row r="924" spans="5:7" ht="15.75" customHeight="1">
      <c r="E924" s="19"/>
      <c r="G924" s="18"/>
    </row>
    <row r="925" spans="5:7" ht="15.75" customHeight="1">
      <c r="E925" s="19"/>
      <c r="G925" s="18"/>
    </row>
    <row r="926" spans="5:7" ht="15.75" customHeight="1">
      <c r="E926" s="19"/>
      <c r="G926" s="18"/>
    </row>
    <row r="927" spans="5:7" ht="15.75" customHeight="1">
      <c r="E927" s="19"/>
      <c r="G927" s="18"/>
    </row>
    <row r="928" spans="5:7" ht="15.75" customHeight="1">
      <c r="E928" s="19"/>
      <c r="G928" s="18"/>
    </row>
    <row r="929" spans="5:7" ht="15.75" customHeight="1">
      <c r="E929" s="19"/>
      <c r="G929" s="18"/>
    </row>
    <row r="930" spans="5:7" ht="15.75" customHeight="1">
      <c r="E930" s="19"/>
      <c r="G930" s="18"/>
    </row>
    <row r="931" spans="5:7" ht="15.75" customHeight="1">
      <c r="E931" s="19"/>
      <c r="G931" s="18"/>
    </row>
    <row r="932" spans="5:7" ht="15.75" customHeight="1">
      <c r="E932" s="19"/>
      <c r="G932" s="18"/>
    </row>
    <row r="933" spans="5:7" ht="15.75" customHeight="1">
      <c r="E933" s="19"/>
      <c r="G933" s="18"/>
    </row>
    <row r="934" spans="5:7" ht="15.75" customHeight="1">
      <c r="E934" s="19"/>
      <c r="G934" s="18"/>
    </row>
    <row r="935" spans="5:7" ht="15.75" customHeight="1">
      <c r="E935" s="19"/>
      <c r="G935" s="18"/>
    </row>
    <row r="936" spans="5:7" ht="15.75" customHeight="1">
      <c r="E936" s="19"/>
      <c r="G936" s="18"/>
    </row>
    <row r="937" spans="5:7" ht="15.75" customHeight="1">
      <c r="E937" s="19"/>
      <c r="G937" s="18"/>
    </row>
    <row r="938" spans="5:7" ht="15.75" customHeight="1">
      <c r="E938" s="19"/>
      <c r="G938" s="18"/>
    </row>
    <row r="939" spans="5:7" ht="15.75" customHeight="1">
      <c r="E939" s="19"/>
      <c r="G939" s="18"/>
    </row>
    <row r="940" spans="5:7" ht="15.75" customHeight="1">
      <c r="E940" s="19"/>
      <c r="G940" s="18"/>
    </row>
    <row r="941" spans="5:7" ht="15.75" customHeight="1">
      <c r="E941" s="19"/>
      <c r="G941" s="18"/>
    </row>
    <row r="942" spans="5:7" ht="15.75" customHeight="1">
      <c r="E942" s="19"/>
      <c r="G942" s="18"/>
    </row>
    <row r="943" spans="5:7" ht="15.75" customHeight="1">
      <c r="E943" s="19"/>
      <c r="G943" s="18"/>
    </row>
    <row r="944" spans="5:7" ht="15.75" customHeight="1">
      <c r="E944" s="19"/>
      <c r="G944" s="18"/>
    </row>
    <row r="945" spans="5:7" ht="15.75" customHeight="1">
      <c r="E945" s="19"/>
      <c r="G945" s="18"/>
    </row>
    <row r="946" spans="5:7" ht="15.75" customHeight="1">
      <c r="E946" s="19"/>
      <c r="G946" s="18"/>
    </row>
    <row r="947" spans="5:7" ht="15.75" customHeight="1">
      <c r="E947" s="19"/>
      <c r="G947" s="18"/>
    </row>
    <row r="948" spans="5:7" ht="15.75" customHeight="1">
      <c r="E948" s="19"/>
      <c r="G948" s="18"/>
    </row>
    <row r="949" spans="5:7" ht="15.75" customHeight="1">
      <c r="E949" s="19"/>
      <c r="G949" s="18"/>
    </row>
    <row r="950" spans="5:7" ht="15.75" customHeight="1">
      <c r="E950" s="19"/>
      <c r="G950" s="18"/>
    </row>
    <row r="951" spans="5:7" ht="15.75" customHeight="1">
      <c r="E951" s="19"/>
      <c r="G951" s="18"/>
    </row>
    <row r="952" spans="5:7" ht="15.75" customHeight="1">
      <c r="E952" s="19"/>
      <c r="G952" s="18"/>
    </row>
    <row r="953" spans="5:7" ht="15.75" customHeight="1">
      <c r="E953" s="19"/>
      <c r="G953" s="18"/>
    </row>
    <row r="954" spans="5:7" ht="15.75" customHeight="1">
      <c r="E954" s="19"/>
      <c r="G954" s="18"/>
    </row>
    <row r="955" spans="5:7" ht="15.75" customHeight="1">
      <c r="E955" s="19"/>
      <c r="G955" s="18"/>
    </row>
    <row r="956" spans="5:7" ht="15.75" customHeight="1">
      <c r="E956" s="19"/>
      <c r="G956" s="18"/>
    </row>
    <row r="957" spans="5:7" ht="15.75" customHeight="1">
      <c r="E957" s="19"/>
      <c r="G957" s="18"/>
    </row>
    <row r="958" spans="5:7" ht="15.75" customHeight="1">
      <c r="E958" s="19"/>
      <c r="G958" s="18"/>
    </row>
    <row r="959" spans="5:7" ht="15.75" customHeight="1">
      <c r="E959" s="19"/>
      <c r="G959" s="18"/>
    </row>
    <row r="960" spans="5:7" ht="15.75" customHeight="1">
      <c r="E960" s="19"/>
      <c r="G960" s="18"/>
    </row>
    <row r="961" spans="5:7" ht="15.75" customHeight="1">
      <c r="E961" s="19"/>
      <c r="G961" s="18"/>
    </row>
    <row r="962" spans="5:7" ht="15.75" customHeight="1">
      <c r="E962" s="19"/>
      <c r="G962" s="18"/>
    </row>
    <row r="963" spans="5:7" ht="15.75" customHeight="1">
      <c r="E963" s="19"/>
      <c r="G963" s="18"/>
    </row>
    <row r="964" spans="5:7" ht="15.75" customHeight="1">
      <c r="E964" s="19"/>
      <c r="G964" s="18"/>
    </row>
    <row r="965" spans="5:7" ht="15.75" customHeight="1">
      <c r="E965" s="19"/>
      <c r="G965" s="18"/>
    </row>
    <row r="966" spans="5:7" ht="15.75" customHeight="1">
      <c r="E966" s="19"/>
      <c r="G966" s="18"/>
    </row>
    <row r="967" spans="5:7" ht="15.75" customHeight="1">
      <c r="E967" s="19"/>
      <c r="G967" s="18"/>
    </row>
    <row r="968" spans="5:7" ht="15.75" customHeight="1">
      <c r="E968" s="19"/>
      <c r="G968" s="18"/>
    </row>
    <row r="969" spans="5:7" ht="15.75" customHeight="1">
      <c r="E969" s="19"/>
      <c r="G969" s="18"/>
    </row>
    <row r="970" spans="5:7" ht="15.75" customHeight="1">
      <c r="E970" s="19"/>
      <c r="G970" s="18"/>
    </row>
    <row r="971" spans="5:7" ht="15.75" customHeight="1">
      <c r="E971" s="19"/>
      <c r="G971" s="18"/>
    </row>
    <row r="972" spans="5:7" ht="15.75" customHeight="1">
      <c r="E972" s="19"/>
      <c r="G972" s="18"/>
    </row>
    <row r="973" spans="5:7" ht="15.75" customHeight="1">
      <c r="E973" s="19"/>
      <c r="G973" s="18"/>
    </row>
    <row r="974" spans="5:7" ht="15.75" customHeight="1">
      <c r="E974" s="19"/>
      <c r="G974" s="18"/>
    </row>
    <row r="975" spans="5:7" ht="15.75" customHeight="1">
      <c r="E975" s="19"/>
      <c r="G975" s="18"/>
    </row>
    <row r="976" spans="5:7" ht="15.75" customHeight="1">
      <c r="E976" s="19"/>
      <c r="G976" s="18"/>
    </row>
    <row r="977" spans="5:7" ht="15.75" customHeight="1">
      <c r="E977" s="19"/>
      <c r="G977" s="18"/>
    </row>
    <row r="978" spans="5:7" ht="15.75" customHeight="1">
      <c r="E978" s="19"/>
      <c r="G978" s="18"/>
    </row>
    <row r="979" spans="5:7" ht="15.75" customHeight="1">
      <c r="E979" s="19"/>
      <c r="G979" s="18"/>
    </row>
    <row r="980" spans="5:7" ht="15.75" customHeight="1">
      <c r="E980" s="19"/>
      <c r="G980" s="18"/>
    </row>
    <row r="981" spans="5:7" ht="15.75" customHeight="1">
      <c r="E981" s="19"/>
      <c r="G981" s="18"/>
    </row>
    <row r="982" spans="5:7" ht="15.75" customHeight="1">
      <c r="E982" s="19"/>
      <c r="G982" s="18"/>
    </row>
    <row r="983" spans="5:7" ht="15.75" customHeight="1">
      <c r="E983" s="19"/>
      <c r="G983" s="18"/>
    </row>
    <row r="984" spans="5:7" ht="15.75" customHeight="1">
      <c r="E984" s="19"/>
      <c r="G984" s="18"/>
    </row>
    <row r="985" spans="5:7" ht="15.75" customHeight="1">
      <c r="E985" s="19"/>
      <c r="G985" s="18"/>
    </row>
    <row r="986" spans="5:7" ht="15.75" customHeight="1">
      <c r="E986" s="19"/>
      <c r="G986" s="18"/>
    </row>
    <row r="987" spans="5:7" ht="15.75" customHeight="1">
      <c r="E987" s="19"/>
      <c r="G987" s="18"/>
    </row>
    <row r="988" spans="5:7" ht="15.75" customHeight="1">
      <c r="E988" s="19"/>
      <c r="G988" s="18"/>
    </row>
    <row r="989" spans="5:7" ht="15.75" customHeight="1">
      <c r="E989" s="19"/>
      <c r="G989" s="18"/>
    </row>
    <row r="990" spans="5:7" ht="15.75" customHeight="1">
      <c r="E990" s="19"/>
      <c r="G990" s="18"/>
    </row>
    <row r="991" spans="5:7" ht="15.75" customHeight="1">
      <c r="E991" s="19"/>
      <c r="G991" s="18"/>
    </row>
    <row r="992" spans="5:7" ht="15.75" customHeight="1">
      <c r="E992" s="19"/>
      <c r="G992" s="18"/>
    </row>
    <row r="993" spans="5:7" ht="15.75" customHeight="1">
      <c r="E993" s="19"/>
      <c r="G993" s="18"/>
    </row>
    <row r="994" spans="5:7" ht="15.75" customHeight="1">
      <c r="E994" s="19"/>
      <c r="G994" s="18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I4" r:id="rId4" xr:uid="{00000000-0004-0000-0000-000003000000}"/>
    <hyperlink ref="B5" r:id="rId5" xr:uid="{00000000-0004-0000-0000-000004000000}"/>
    <hyperlink ref="C7" r:id="rId6" xr:uid="{00000000-0004-0000-0000-000005000000}"/>
    <hyperlink ref="B10" r:id="rId7" xr:uid="{00000000-0004-0000-0000-000006000000}"/>
    <hyperlink ref="B11" r:id="rId8" xr:uid="{00000000-0004-0000-0000-000007000000}"/>
    <hyperlink ref="I11" r:id="rId9" xr:uid="{00000000-0004-0000-0000-000008000000}"/>
    <hyperlink ref="B13" r:id="rId10" xr:uid="{00000000-0004-0000-0000-000009000000}"/>
    <hyperlink ref="I13" r:id="rId11" xr:uid="{00000000-0004-0000-0000-00000A000000}"/>
    <hyperlink ref="B14" r:id="rId12" xr:uid="{00000000-0004-0000-0000-00000B000000}"/>
    <hyperlink ref="B15" r:id="rId13" xr:uid="{00000000-0004-0000-0000-00000C000000}"/>
    <hyperlink ref="I16" r:id="rId14" xr:uid="{00000000-0004-0000-0000-00000D000000}"/>
    <hyperlink ref="C19" r:id="rId15" xr:uid="{00000000-0004-0000-0000-00000E000000}"/>
    <hyperlink ref="B20" r:id="rId16" xr:uid="{00000000-0004-0000-0000-00000F000000}"/>
    <hyperlink ref="B21" r:id="rId17" xr:uid="{00000000-0004-0000-0000-000010000000}"/>
    <hyperlink ref="C22" r:id="rId18" xr:uid="{00000000-0004-0000-0000-000011000000}"/>
    <hyperlink ref="B24" r:id="rId19" xr:uid="{00000000-0004-0000-0000-000012000000}"/>
    <hyperlink ref="B25" r:id="rId20" xr:uid="{00000000-0004-0000-0000-000013000000}"/>
    <hyperlink ref="I26" r:id="rId21" xr:uid="{00000000-0004-0000-0000-000014000000}"/>
    <hyperlink ref="B27" r:id="rId22" xr:uid="{00000000-0004-0000-0000-000015000000}"/>
    <hyperlink ref="I27" r:id="rId23" xr:uid="{00000000-0004-0000-0000-000016000000}"/>
    <hyperlink ref="C28" r:id="rId24" xr:uid="{00000000-0004-0000-0000-000017000000}"/>
    <hyperlink ref="B29" r:id="rId25" xr:uid="{00000000-0004-0000-0000-000018000000}"/>
    <hyperlink ref="B30" r:id="rId26" xr:uid="{00000000-0004-0000-0000-000019000000}"/>
    <hyperlink ref="B32" r:id="rId27" xr:uid="{00000000-0004-0000-0000-00001A000000}"/>
    <hyperlink ref="I32" r:id="rId28" xr:uid="{00000000-0004-0000-0000-00001B000000}"/>
    <hyperlink ref="B33" r:id="rId29" xr:uid="{00000000-0004-0000-0000-00001C000000}"/>
    <hyperlink ref="B34" r:id="rId30" xr:uid="{00000000-0004-0000-0000-00001D000000}"/>
    <hyperlink ref="B35" r:id="rId31" xr:uid="{00000000-0004-0000-0000-00001E000000}"/>
    <hyperlink ref="B36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2" r:id="rId38" xr:uid="{00000000-0004-0000-0000-000025000000}"/>
    <hyperlink ref="B43" r:id="rId39" xr:uid="{00000000-0004-0000-0000-000026000000}"/>
    <hyperlink ref="B44" r:id="rId40" xr:uid="{00000000-0004-0000-0000-000027000000}"/>
    <hyperlink ref="B45" r:id="rId41" xr:uid="{00000000-0004-0000-0000-000028000000}"/>
    <hyperlink ref="B46" r:id="rId42" xr:uid="{00000000-0004-0000-0000-000029000000}"/>
    <hyperlink ref="B47" r:id="rId43" xr:uid="{00000000-0004-0000-0000-00002A000000}"/>
    <hyperlink ref="B48" r:id="rId44" xr:uid="{00000000-0004-0000-0000-00002B000000}"/>
    <hyperlink ref="B49" r:id="rId45" xr:uid="{00000000-0004-0000-0000-00002C000000}"/>
    <hyperlink ref="I49" r:id="rId46" xr:uid="{00000000-0004-0000-0000-00002D000000}"/>
    <hyperlink ref="B50" r:id="rId47" xr:uid="{00000000-0004-0000-0000-00002E000000}"/>
    <hyperlink ref="B51" r:id="rId48" xr:uid="{00000000-0004-0000-0000-00002F000000}"/>
    <hyperlink ref="B52" r:id="rId49" xr:uid="{00000000-0004-0000-0000-000030000000}"/>
    <hyperlink ref="I52" r:id="rId50" xr:uid="{00000000-0004-0000-0000-000031000000}"/>
    <hyperlink ref="B53" r:id="rId51" xr:uid="{00000000-0004-0000-0000-000032000000}"/>
    <hyperlink ref="I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I56" r:id="rId56" xr:uid="{00000000-0004-0000-0000-000037000000}"/>
    <hyperlink ref="B57" r:id="rId57" xr:uid="{00000000-0004-0000-0000-000038000000}"/>
    <hyperlink ref="I57" r:id="rId58" xr:uid="{00000000-0004-0000-0000-000039000000}"/>
    <hyperlink ref="B58" r:id="rId59" xr:uid="{00000000-0004-0000-0000-00003A000000}"/>
    <hyperlink ref="B59" r:id="rId60" xr:uid="{00000000-0004-0000-0000-00003B000000}"/>
    <hyperlink ref="I59" r:id="rId61" xr:uid="{00000000-0004-0000-0000-00003C000000}"/>
    <hyperlink ref="B60" r:id="rId62" xr:uid="{00000000-0004-0000-0000-00003D000000}"/>
    <hyperlink ref="B61" r:id="rId63" xr:uid="{00000000-0004-0000-0000-00003E000000}"/>
    <hyperlink ref="B62" r:id="rId64" xr:uid="{00000000-0004-0000-0000-00003F000000}"/>
    <hyperlink ref="B63" r:id="rId65" xr:uid="{00000000-0004-0000-0000-000040000000}"/>
    <hyperlink ref="B64" r:id="rId66" xr:uid="{00000000-0004-0000-0000-000041000000}"/>
    <hyperlink ref="B65" r:id="rId67" xr:uid="{00000000-0004-0000-0000-000042000000}"/>
    <hyperlink ref="B66" r:id="rId68" xr:uid="{00000000-0004-0000-0000-000043000000}"/>
    <hyperlink ref="B67" r:id="rId69" xr:uid="{00000000-0004-0000-0000-000044000000}"/>
    <hyperlink ref="B68" r:id="rId70" xr:uid="{00000000-0004-0000-0000-000045000000}"/>
    <hyperlink ref="B69" r:id="rId71" xr:uid="{00000000-0004-0000-0000-000046000000}"/>
    <hyperlink ref="B70" r:id="rId72" xr:uid="{00000000-0004-0000-0000-000047000000}"/>
    <hyperlink ref="B71" r:id="rId73" xr:uid="{00000000-0004-0000-0000-000048000000}"/>
    <hyperlink ref="B72" r:id="rId74" xr:uid="{00000000-0004-0000-0000-000049000000}"/>
    <hyperlink ref="I72" r:id="rId75" xr:uid="{00000000-0004-0000-0000-00004A000000}"/>
    <hyperlink ref="B73" r:id="rId76" xr:uid="{00000000-0004-0000-0000-00004B000000}"/>
    <hyperlink ref="B74" r:id="rId77" xr:uid="{00000000-0004-0000-0000-00004C000000}"/>
    <hyperlink ref="B75" r:id="rId78" xr:uid="{00000000-0004-0000-0000-00004D000000}"/>
    <hyperlink ref="B76" r:id="rId79" xr:uid="{00000000-0004-0000-0000-00004E000000}"/>
    <hyperlink ref="B77" r:id="rId80" xr:uid="{00000000-0004-0000-0000-00004F000000}"/>
    <hyperlink ref="B78" r:id="rId81" xr:uid="{00000000-0004-0000-0000-000050000000}"/>
    <hyperlink ref="C79" r:id="rId82" xr:uid="{00000000-0004-0000-0000-000051000000}"/>
    <hyperlink ref="E79" r:id="rId83" xr:uid="{00000000-0004-0000-0000-000052000000}"/>
    <hyperlink ref="C80" r:id="rId84" xr:uid="{00000000-0004-0000-0000-000053000000}"/>
    <hyperlink ref="C81" r:id="rId85" xr:uid="{00000000-0004-0000-0000-000054000000}"/>
    <hyperlink ref="C82" r:id="rId86" xr:uid="{00000000-0004-0000-0000-000055000000}"/>
    <hyperlink ref="I82" r:id="rId87" xr:uid="{00000000-0004-0000-0000-000056000000}"/>
    <hyperlink ref="C83" r:id="rId88" xr:uid="{00000000-0004-0000-0000-000057000000}"/>
    <hyperlink ref="C84" r:id="rId89" xr:uid="{00000000-0004-0000-0000-000058000000}"/>
    <hyperlink ref="C85" r:id="rId90" xr:uid="{00000000-0004-0000-0000-000059000000}"/>
    <hyperlink ref="C86" r:id="rId91" xr:uid="{00000000-0004-0000-0000-00005A000000}"/>
    <hyperlink ref="C87" r:id="rId92" xr:uid="{00000000-0004-0000-0000-00005B000000}"/>
    <hyperlink ref="C88" r:id="rId93" xr:uid="{00000000-0004-0000-0000-00005C000000}"/>
    <hyperlink ref="C89" r:id="rId94" xr:uid="{00000000-0004-0000-0000-00005D000000}"/>
    <hyperlink ref="E89" r:id="rId95" xr:uid="{00000000-0004-0000-0000-00005E000000}"/>
    <hyperlink ref="C90" r:id="rId96" xr:uid="{00000000-0004-0000-0000-00005F000000}"/>
    <hyperlink ref="I90" r:id="rId97" xr:uid="{00000000-0004-0000-0000-000060000000}"/>
    <hyperlink ref="C91" r:id="rId98" xr:uid="{00000000-0004-0000-0000-000061000000}"/>
    <hyperlink ref="C92" r:id="rId99" xr:uid="{00000000-0004-0000-0000-000062000000}"/>
    <hyperlink ref="C93" r:id="rId100" xr:uid="{00000000-0004-0000-0000-000063000000}"/>
    <hyperlink ref="C94" r:id="rId101" xr:uid="{00000000-0004-0000-0000-000064000000}"/>
    <hyperlink ref="C95" r:id="rId102" xr:uid="{00000000-0004-0000-0000-000065000000}"/>
    <hyperlink ref="I95" r:id="rId103" xr:uid="{00000000-0004-0000-0000-000066000000}"/>
    <hyperlink ref="C96" r:id="rId104" xr:uid="{00000000-0004-0000-0000-000067000000}"/>
    <hyperlink ref="C97" r:id="rId105" xr:uid="{00000000-0004-0000-0000-000068000000}"/>
    <hyperlink ref="C98" r:id="rId106" xr:uid="{00000000-0004-0000-0000-000069000000}"/>
    <hyperlink ref="C99" r:id="rId107" xr:uid="{00000000-0004-0000-0000-00006A000000}"/>
    <hyperlink ref="C100" r:id="rId108" xr:uid="{00000000-0004-0000-0000-00006B000000}"/>
    <hyperlink ref="C101" r:id="rId109" xr:uid="{00000000-0004-0000-0000-00006C000000}"/>
    <hyperlink ref="C102" r:id="rId110" xr:uid="{00000000-0004-0000-0000-00006D000000}"/>
    <hyperlink ref="C103" r:id="rId111" xr:uid="{00000000-0004-0000-0000-00006E000000}"/>
    <hyperlink ref="E103" r:id="rId112" xr:uid="{00000000-0004-0000-0000-00006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5"/>
  <sheetViews>
    <sheetView workbookViewId="0"/>
  </sheetViews>
  <sheetFormatPr baseColWidth="10" defaultColWidth="14.5" defaultRowHeight="15.75" customHeight="1"/>
  <cols>
    <col min="4" max="4" width="19.33203125" customWidth="1"/>
    <col min="5" max="5" width="14" customWidth="1"/>
    <col min="6" max="6" width="37" customWidth="1"/>
    <col min="7" max="7" width="10" customWidth="1"/>
    <col min="8" max="8" width="8" customWidth="1"/>
    <col min="9" max="9" width="9.1640625" customWidth="1"/>
    <col min="10" max="10" width="19.33203125" customWidth="1"/>
    <col min="11" max="11" width="18.83203125" customWidth="1"/>
    <col min="12" max="12" width="11.5" customWidth="1"/>
  </cols>
  <sheetData>
    <row r="1" spans="1:11" ht="15.75" customHeight="1">
      <c r="A1" s="2"/>
      <c r="B1" s="2"/>
      <c r="C1" s="2"/>
      <c r="D1" s="2" t="s">
        <v>6</v>
      </c>
      <c r="E1" s="2"/>
      <c r="F1" s="2"/>
      <c r="G1" s="2"/>
      <c r="H1" s="2"/>
      <c r="I1" s="2"/>
      <c r="J1" s="2" t="s">
        <v>7</v>
      </c>
    </row>
    <row r="2" spans="1:11" ht="15.75" customHeight="1">
      <c r="A2" s="2" t="s">
        <v>8</v>
      </c>
      <c r="B2" s="2" t="s">
        <v>9</v>
      </c>
      <c r="C2" s="2" t="s">
        <v>3</v>
      </c>
      <c r="D2" s="4" t="s">
        <v>10</v>
      </c>
      <c r="E2" s="2" t="s">
        <v>13</v>
      </c>
      <c r="F2" s="2" t="s">
        <v>14</v>
      </c>
      <c r="G2" s="2" t="s">
        <v>11</v>
      </c>
      <c r="H2" s="2" t="s">
        <v>15</v>
      </c>
      <c r="I2" s="2" t="s">
        <v>16</v>
      </c>
      <c r="J2" s="2" t="s">
        <v>17</v>
      </c>
    </row>
    <row r="15" spans="1:11" ht="15.75" customHeight="1">
      <c r="E15" s="7"/>
    </row>
    <row r="24" spans="1:6" ht="15.75" customHeight="1">
      <c r="D24" s="2"/>
      <c r="E24" s="2"/>
      <c r="F24" s="2"/>
    </row>
    <row r="25" spans="1:6" ht="15.75" customHeight="1">
      <c r="A25" s="2"/>
      <c r="B25" s="2"/>
      <c r="C25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10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" sqref="I1:I1048576"/>
    </sheetView>
  </sheetViews>
  <sheetFormatPr baseColWidth="10" defaultColWidth="14.5" defaultRowHeight="15.75" customHeight="1"/>
  <cols>
    <col min="1" max="1" width="65" style="31" customWidth="1"/>
    <col min="2" max="2" width="13.6640625" style="31" customWidth="1"/>
    <col min="3" max="3" width="7.1640625" style="31" customWidth="1"/>
    <col min="4" max="4" width="11" style="31" customWidth="1"/>
    <col min="5" max="5" width="10.33203125" style="31" customWidth="1"/>
    <col min="6" max="6" width="21" style="31" customWidth="1"/>
    <col min="7" max="7" width="14.5" style="31" customWidth="1"/>
    <col min="8" max="8" width="9.6640625" style="31" customWidth="1"/>
    <col min="9" max="9" width="10.83203125" style="31" bestFit="1" customWidth="1"/>
    <col min="10" max="10" width="7.83203125" style="31" customWidth="1"/>
    <col min="11" max="11" width="15" style="31" customWidth="1"/>
    <col min="12" max="12" width="14.5" style="31" customWidth="1"/>
    <col min="13" max="13" width="2.1640625" style="31" hidden="1" customWidth="1"/>
    <col min="14" max="16384" width="14.5" style="31"/>
  </cols>
  <sheetData>
    <row r="1" spans="1:13" ht="13">
      <c r="E1" s="31" t="s">
        <v>6</v>
      </c>
      <c r="L1" s="31" t="s">
        <v>85</v>
      </c>
    </row>
    <row r="2" spans="1:13" s="32" customFormat="1" ht="51" customHeight="1">
      <c r="A2" s="32" t="s">
        <v>8</v>
      </c>
      <c r="B2" s="32" t="s">
        <v>9</v>
      </c>
      <c r="C2" s="32" t="s">
        <v>3</v>
      </c>
      <c r="D2" s="32" t="s">
        <v>87</v>
      </c>
      <c r="E2" s="32" t="s">
        <v>10</v>
      </c>
      <c r="F2" s="32" t="s">
        <v>13</v>
      </c>
      <c r="G2" s="32" t="s">
        <v>14</v>
      </c>
      <c r="H2" s="32" t="s">
        <v>11</v>
      </c>
      <c r="I2" s="32" t="s">
        <v>91</v>
      </c>
      <c r="J2" s="32" t="s">
        <v>15</v>
      </c>
      <c r="K2" s="32" t="s">
        <v>16</v>
      </c>
      <c r="L2" s="32" t="s">
        <v>17</v>
      </c>
    </row>
    <row r="3" spans="1:13" ht="13">
      <c r="A3" s="31" t="s">
        <v>498</v>
      </c>
      <c r="B3" s="31" t="s">
        <v>74</v>
      </c>
      <c r="C3" s="33" t="s">
        <v>436</v>
      </c>
      <c r="D3" s="31">
        <v>0</v>
      </c>
      <c r="E3" s="31">
        <v>0</v>
      </c>
      <c r="F3" s="31" t="s">
        <v>499</v>
      </c>
      <c r="G3" s="31">
        <v>0</v>
      </c>
      <c r="H3" s="31">
        <v>1</v>
      </c>
      <c r="I3" s="31" t="e">
        <f t="shared" ref="I3:I458" ca="1" si="0">IF(OR(ISBLANK(G3), ISBLANK(H3)), "", IF(AND(EQ(G3, 1), EQ(H3, 1)), 1, 0))</f>
        <v>#NAME?</v>
      </c>
      <c r="L3" s="31">
        <v>0</v>
      </c>
      <c r="M3" s="31">
        <f t="shared" ref="M3:M733" si="1">IF(A3=A2,0,1)</f>
        <v>1</v>
      </c>
    </row>
    <row r="4" spans="1:13" ht="13">
      <c r="A4" s="31" t="s">
        <v>498</v>
      </c>
      <c r="B4" s="31" t="s">
        <v>74</v>
      </c>
      <c r="C4" s="33" t="s">
        <v>436</v>
      </c>
      <c r="D4" s="31">
        <v>0</v>
      </c>
      <c r="E4" s="31">
        <v>0</v>
      </c>
      <c r="F4" s="31" t="s">
        <v>500</v>
      </c>
      <c r="G4" s="31">
        <v>0</v>
      </c>
      <c r="I4" s="31" t="str">
        <f t="shared" si="0"/>
        <v/>
      </c>
      <c r="M4" s="31">
        <f t="shared" si="1"/>
        <v>0</v>
      </c>
    </row>
    <row r="5" spans="1:13" ht="13">
      <c r="A5" s="31" t="s">
        <v>498</v>
      </c>
      <c r="B5" s="31" t="s">
        <v>74</v>
      </c>
      <c r="C5" s="33" t="s">
        <v>436</v>
      </c>
      <c r="D5" s="31">
        <v>0</v>
      </c>
      <c r="E5" s="31">
        <v>0</v>
      </c>
      <c r="F5" s="31" t="s">
        <v>501</v>
      </c>
      <c r="G5" s="31">
        <v>0</v>
      </c>
      <c r="I5" s="31" t="str">
        <f t="shared" si="0"/>
        <v/>
      </c>
      <c r="M5" s="31">
        <f t="shared" si="1"/>
        <v>0</v>
      </c>
    </row>
    <row r="6" spans="1:13" ht="13">
      <c r="A6" s="31" t="s">
        <v>498</v>
      </c>
      <c r="B6" s="31" t="s">
        <v>74</v>
      </c>
      <c r="C6" s="33" t="s">
        <v>436</v>
      </c>
      <c r="D6" s="31">
        <v>0</v>
      </c>
      <c r="E6" s="31">
        <v>0</v>
      </c>
      <c r="F6" s="31" t="s">
        <v>502</v>
      </c>
      <c r="G6" s="31">
        <v>0</v>
      </c>
      <c r="I6" s="31" t="str">
        <f t="shared" si="0"/>
        <v/>
      </c>
      <c r="M6" s="31">
        <f t="shared" si="1"/>
        <v>0</v>
      </c>
    </row>
    <row r="7" spans="1:13" ht="13">
      <c r="A7" s="31" t="s">
        <v>498</v>
      </c>
      <c r="B7" s="31" t="s">
        <v>74</v>
      </c>
      <c r="C7" s="33" t="s">
        <v>436</v>
      </c>
      <c r="D7" s="31">
        <v>0</v>
      </c>
      <c r="E7" s="31">
        <v>0</v>
      </c>
      <c r="F7" s="31" t="s">
        <v>503</v>
      </c>
      <c r="G7" s="31">
        <v>0</v>
      </c>
      <c r="I7" s="31" t="str">
        <f t="shared" si="0"/>
        <v/>
      </c>
      <c r="M7" s="31">
        <f t="shared" si="1"/>
        <v>0</v>
      </c>
    </row>
    <row r="8" spans="1:13" ht="13">
      <c r="A8" s="31" t="s">
        <v>504</v>
      </c>
      <c r="B8" s="31" t="s">
        <v>74</v>
      </c>
      <c r="C8" s="33" t="s">
        <v>437</v>
      </c>
      <c r="D8" s="31">
        <v>0</v>
      </c>
      <c r="E8" s="31">
        <v>0</v>
      </c>
      <c r="F8" s="31" t="s">
        <v>505</v>
      </c>
      <c r="G8" s="31">
        <v>0</v>
      </c>
      <c r="H8" s="31">
        <v>1</v>
      </c>
      <c r="I8" s="31" t="e">
        <f t="shared" ca="1" si="0"/>
        <v>#NAME?</v>
      </c>
      <c r="L8" s="31">
        <v>0</v>
      </c>
      <c r="M8" s="31">
        <f t="shared" si="1"/>
        <v>1</v>
      </c>
    </row>
    <row r="9" spans="1:13" ht="13">
      <c r="A9" s="31" t="s">
        <v>504</v>
      </c>
      <c r="B9" s="31" t="s">
        <v>74</v>
      </c>
      <c r="C9" s="33" t="s">
        <v>437</v>
      </c>
      <c r="D9" s="31">
        <v>0</v>
      </c>
      <c r="E9" s="31">
        <v>0</v>
      </c>
      <c r="F9" s="31" t="s">
        <v>499</v>
      </c>
      <c r="G9" s="31">
        <v>0</v>
      </c>
      <c r="H9" s="31">
        <v>1</v>
      </c>
      <c r="I9" s="31" t="e">
        <f t="shared" ca="1" si="0"/>
        <v>#NAME?</v>
      </c>
      <c r="M9" s="31">
        <f t="shared" si="1"/>
        <v>0</v>
      </c>
    </row>
    <row r="10" spans="1:13" ht="13">
      <c r="A10" s="31" t="s">
        <v>506</v>
      </c>
      <c r="B10" s="31" t="s">
        <v>62</v>
      </c>
      <c r="C10" s="33" t="s">
        <v>507</v>
      </c>
      <c r="D10" s="31">
        <v>0</v>
      </c>
      <c r="E10" s="31">
        <v>1</v>
      </c>
      <c r="F10" s="31" t="s">
        <v>508</v>
      </c>
      <c r="G10" s="31">
        <v>0</v>
      </c>
      <c r="H10" s="31">
        <v>1</v>
      </c>
      <c r="I10" s="31" t="e">
        <f t="shared" ca="1" si="0"/>
        <v>#NAME?</v>
      </c>
      <c r="L10" s="31">
        <v>0</v>
      </c>
      <c r="M10" s="31">
        <f t="shared" si="1"/>
        <v>1</v>
      </c>
    </row>
    <row r="11" spans="1:13" ht="13">
      <c r="A11" s="31" t="s">
        <v>509</v>
      </c>
      <c r="B11" s="31" t="s">
        <v>62</v>
      </c>
      <c r="C11" s="33" t="s">
        <v>510</v>
      </c>
      <c r="D11" s="31">
        <v>0</v>
      </c>
      <c r="E11" s="31">
        <v>1</v>
      </c>
      <c r="F11" s="31" t="s">
        <v>511</v>
      </c>
      <c r="G11" s="31">
        <v>0</v>
      </c>
      <c r="H11" s="31">
        <v>1</v>
      </c>
      <c r="I11" s="31" t="e">
        <f t="shared" ca="1" si="0"/>
        <v>#NAME?</v>
      </c>
      <c r="L11" s="31">
        <v>1</v>
      </c>
      <c r="M11" s="31">
        <f t="shared" si="1"/>
        <v>1</v>
      </c>
    </row>
    <row r="12" spans="1:13" ht="14">
      <c r="A12" s="31" t="s">
        <v>509</v>
      </c>
      <c r="B12" s="31" t="s">
        <v>62</v>
      </c>
      <c r="C12" s="31" t="s">
        <v>512</v>
      </c>
      <c r="D12" s="31">
        <v>0</v>
      </c>
      <c r="E12" s="31">
        <v>1</v>
      </c>
      <c r="F12" s="48" t="s">
        <v>513</v>
      </c>
      <c r="G12" s="31">
        <v>0</v>
      </c>
      <c r="H12" s="31">
        <v>1</v>
      </c>
      <c r="I12" s="31" t="e">
        <f t="shared" ca="1" si="0"/>
        <v>#NAME?</v>
      </c>
      <c r="M12" s="31">
        <f t="shared" si="1"/>
        <v>0</v>
      </c>
    </row>
    <row r="13" spans="1:13" ht="14">
      <c r="A13" s="31" t="s">
        <v>509</v>
      </c>
      <c r="B13" s="31" t="s">
        <v>62</v>
      </c>
      <c r="C13" s="31" t="s">
        <v>514</v>
      </c>
      <c r="D13" s="31">
        <v>0</v>
      </c>
      <c r="E13" s="31">
        <v>1</v>
      </c>
      <c r="F13" s="50" t="s">
        <v>515</v>
      </c>
      <c r="G13" s="31">
        <v>0</v>
      </c>
      <c r="H13" s="31">
        <v>1</v>
      </c>
      <c r="I13" s="31" t="e">
        <f t="shared" ca="1" si="0"/>
        <v>#NAME?</v>
      </c>
      <c r="M13" s="31">
        <f t="shared" si="1"/>
        <v>0</v>
      </c>
    </row>
    <row r="14" spans="1:13" ht="14">
      <c r="A14" s="31" t="s">
        <v>509</v>
      </c>
      <c r="B14" s="31" t="s">
        <v>62</v>
      </c>
      <c r="C14" s="31" t="s">
        <v>516</v>
      </c>
      <c r="D14" s="31">
        <v>0</v>
      </c>
      <c r="E14" s="31">
        <v>1</v>
      </c>
      <c r="F14" s="50" t="s">
        <v>517</v>
      </c>
      <c r="G14" s="31">
        <v>0</v>
      </c>
      <c r="H14" s="31">
        <v>1</v>
      </c>
      <c r="I14" s="31" t="e">
        <f t="shared" ca="1" si="0"/>
        <v>#NAME?</v>
      </c>
      <c r="M14" s="31">
        <f t="shared" si="1"/>
        <v>0</v>
      </c>
    </row>
    <row r="15" spans="1:13" ht="14">
      <c r="A15" s="31" t="s">
        <v>509</v>
      </c>
      <c r="B15" s="31" t="s">
        <v>62</v>
      </c>
      <c r="C15" s="31" t="s">
        <v>518</v>
      </c>
      <c r="D15" s="31">
        <v>0</v>
      </c>
      <c r="E15" s="31">
        <v>1</v>
      </c>
      <c r="F15" s="50" t="s">
        <v>519</v>
      </c>
      <c r="G15" s="31">
        <v>0</v>
      </c>
      <c r="H15" s="31">
        <v>1</v>
      </c>
      <c r="I15" s="31" t="e">
        <f t="shared" ca="1" si="0"/>
        <v>#NAME?</v>
      </c>
      <c r="M15" s="31">
        <f t="shared" si="1"/>
        <v>0</v>
      </c>
    </row>
    <row r="16" spans="1:13" ht="14">
      <c r="A16" s="31" t="s">
        <v>509</v>
      </c>
      <c r="B16" s="31" t="s">
        <v>62</v>
      </c>
      <c r="C16" s="31" t="s">
        <v>520</v>
      </c>
      <c r="D16" s="31">
        <v>0</v>
      </c>
      <c r="E16" s="31">
        <v>1</v>
      </c>
      <c r="F16" s="50" t="s">
        <v>521</v>
      </c>
      <c r="G16" s="31">
        <v>0</v>
      </c>
      <c r="H16" s="31">
        <v>1</v>
      </c>
      <c r="I16" s="31" t="e">
        <f t="shared" ca="1" si="0"/>
        <v>#NAME?</v>
      </c>
      <c r="M16" s="31">
        <f t="shared" si="1"/>
        <v>0</v>
      </c>
    </row>
    <row r="17" spans="1:13" ht="13">
      <c r="A17" s="31" t="s">
        <v>522</v>
      </c>
      <c r="B17" s="31" t="s">
        <v>62</v>
      </c>
      <c r="C17" s="33" t="s">
        <v>523</v>
      </c>
      <c r="D17" s="31">
        <v>0</v>
      </c>
      <c r="E17" s="31">
        <v>1</v>
      </c>
      <c r="F17" s="31" t="s">
        <v>524</v>
      </c>
      <c r="G17" s="31">
        <v>0</v>
      </c>
      <c r="H17" s="31">
        <v>1</v>
      </c>
      <c r="I17" s="31" t="e">
        <f t="shared" ca="1" si="0"/>
        <v>#NAME?</v>
      </c>
      <c r="L17" s="31">
        <v>0</v>
      </c>
      <c r="M17" s="31">
        <f t="shared" si="1"/>
        <v>1</v>
      </c>
    </row>
    <row r="18" spans="1:13" ht="13">
      <c r="A18" s="31" t="s">
        <v>522</v>
      </c>
      <c r="B18" s="31" t="s">
        <v>62</v>
      </c>
      <c r="C18" s="31" t="s">
        <v>525</v>
      </c>
      <c r="D18" s="31">
        <v>0</v>
      </c>
      <c r="E18" s="31">
        <v>1</v>
      </c>
      <c r="F18" s="31" t="s">
        <v>526</v>
      </c>
      <c r="G18" s="31">
        <v>0</v>
      </c>
      <c r="H18" s="31">
        <v>1</v>
      </c>
      <c r="I18" s="31" t="e">
        <f t="shared" ca="1" si="0"/>
        <v>#NAME?</v>
      </c>
      <c r="M18" s="31">
        <f t="shared" si="1"/>
        <v>0</v>
      </c>
    </row>
    <row r="19" spans="1:13" ht="13">
      <c r="A19" s="31" t="s">
        <v>527</v>
      </c>
      <c r="B19" s="31" t="s">
        <v>62</v>
      </c>
      <c r="C19" s="33" t="s">
        <v>528</v>
      </c>
      <c r="D19" s="31">
        <v>0</v>
      </c>
      <c r="E19" s="31">
        <v>1</v>
      </c>
      <c r="F19" s="31" t="s">
        <v>529</v>
      </c>
      <c r="G19" s="31">
        <v>0</v>
      </c>
      <c r="H19" s="31">
        <v>1</v>
      </c>
      <c r="I19" s="31" t="e">
        <f t="shared" ca="1" si="0"/>
        <v>#NAME?</v>
      </c>
      <c r="L19" s="31">
        <v>1</v>
      </c>
      <c r="M19" s="31">
        <f t="shared" si="1"/>
        <v>1</v>
      </c>
    </row>
    <row r="20" spans="1:13" ht="13">
      <c r="A20" s="31" t="s">
        <v>527</v>
      </c>
      <c r="B20" s="31" t="s">
        <v>62</v>
      </c>
      <c r="C20" s="31" t="s">
        <v>530</v>
      </c>
      <c r="D20" s="31">
        <v>0</v>
      </c>
      <c r="E20" s="31">
        <v>1</v>
      </c>
      <c r="F20" s="31" t="s">
        <v>531</v>
      </c>
      <c r="G20" s="31">
        <v>0</v>
      </c>
      <c r="H20" s="31">
        <v>1</v>
      </c>
      <c r="I20" s="31" t="e">
        <f t="shared" ca="1" si="0"/>
        <v>#NAME?</v>
      </c>
      <c r="M20" s="31">
        <f t="shared" si="1"/>
        <v>0</v>
      </c>
    </row>
    <row r="21" spans="1:13" ht="13">
      <c r="A21" s="31" t="s">
        <v>527</v>
      </c>
      <c r="B21" s="31" t="s">
        <v>62</v>
      </c>
      <c r="C21" s="31" t="s">
        <v>532</v>
      </c>
      <c r="D21" s="31">
        <v>0</v>
      </c>
      <c r="E21" s="31">
        <v>1</v>
      </c>
      <c r="F21" s="31" t="s">
        <v>533</v>
      </c>
      <c r="G21" s="31">
        <v>0</v>
      </c>
      <c r="H21" s="31">
        <v>1</v>
      </c>
      <c r="I21" s="31" t="e">
        <f t="shared" ca="1" si="0"/>
        <v>#NAME?</v>
      </c>
      <c r="M21" s="31">
        <f t="shared" si="1"/>
        <v>0</v>
      </c>
    </row>
    <row r="22" spans="1:13" ht="13">
      <c r="A22" s="31" t="s">
        <v>92</v>
      </c>
      <c r="B22" s="31" t="s">
        <v>93</v>
      </c>
      <c r="C22" s="33" t="s">
        <v>94</v>
      </c>
      <c r="D22" s="31">
        <v>0</v>
      </c>
      <c r="E22" s="31">
        <v>0</v>
      </c>
      <c r="F22" s="31" t="s">
        <v>98</v>
      </c>
      <c r="G22" s="31">
        <v>0</v>
      </c>
      <c r="H22" s="31">
        <v>1</v>
      </c>
      <c r="I22" s="31" t="e">
        <f t="shared" ca="1" si="0"/>
        <v>#NAME?</v>
      </c>
      <c r="L22" s="31">
        <v>1</v>
      </c>
      <c r="M22" s="31">
        <f t="shared" si="1"/>
        <v>1</v>
      </c>
    </row>
    <row r="23" spans="1:13" ht="13">
      <c r="A23" s="31" t="s">
        <v>92</v>
      </c>
      <c r="B23" s="31" t="s">
        <v>93</v>
      </c>
      <c r="C23" s="31" t="s">
        <v>101</v>
      </c>
      <c r="D23" s="31">
        <v>0</v>
      </c>
      <c r="E23" s="31">
        <v>0</v>
      </c>
      <c r="F23" s="31" t="s">
        <v>102</v>
      </c>
      <c r="G23" s="31">
        <v>0</v>
      </c>
      <c r="H23" s="31">
        <v>1</v>
      </c>
      <c r="I23" s="31" t="e">
        <f t="shared" ca="1" si="0"/>
        <v>#NAME?</v>
      </c>
      <c r="M23" s="31">
        <f t="shared" si="1"/>
        <v>0</v>
      </c>
    </row>
    <row r="24" spans="1:13" ht="13">
      <c r="A24" s="31" t="s">
        <v>92</v>
      </c>
      <c r="B24" s="31" t="s">
        <v>93</v>
      </c>
      <c r="C24" s="31" t="s">
        <v>103</v>
      </c>
      <c r="D24" s="31">
        <v>0</v>
      </c>
      <c r="E24" s="31">
        <v>0</v>
      </c>
      <c r="F24" s="31" t="s">
        <v>104</v>
      </c>
      <c r="G24" s="31">
        <v>0</v>
      </c>
      <c r="H24" s="31">
        <v>1</v>
      </c>
      <c r="I24" s="31" t="e">
        <f t="shared" ca="1" si="0"/>
        <v>#NAME?</v>
      </c>
      <c r="M24" s="31">
        <f t="shared" si="1"/>
        <v>0</v>
      </c>
    </row>
    <row r="25" spans="1:13" ht="13">
      <c r="A25" s="31" t="s">
        <v>92</v>
      </c>
      <c r="B25" s="31" t="s">
        <v>93</v>
      </c>
      <c r="C25" s="31" t="s">
        <v>105</v>
      </c>
      <c r="D25" s="31">
        <v>0</v>
      </c>
      <c r="E25" s="31">
        <v>0</v>
      </c>
      <c r="F25" s="31" t="s">
        <v>106</v>
      </c>
      <c r="G25" s="31">
        <v>0</v>
      </c>
      <c r="H25" s="31">
        <v>1</v>
      </c>
      <c r="I25" s="31" t="e">
        <f t="shared" ca="1" si="0"/>
        <v>#NAME?</v>
      </c>
      <c r="M25" s="31">
        <f t="shared" si="1"/>
        <v>0</v>
      </c>
    </row>
    <row r="26" spans="1:13" ht="13">
      <c r="A26" s="31" t="s">
        <v>92</v>
      </c>
      <c r="B26" s="31" t="s">
        <v>93</v>
      </c>
      <c r="C26" s="31" t="s">
        <v>108</v>
      </c>
      <c r="D26" s="31">
        <v>0</v>
      </c>
      <c r="E26" s="31">
        <v>0</v>
      </c>
      <c r="F26" s="31" t="s">
        <v>110</v>
      </c>
      <c r="G26" s="31">
        <v>1</v>
      </c>
      <c r="H26" s="31">
        <v>0</v>
      </c>
      <c r="I26" s="31" t="e">
        <f t="shared" ca="1" si="0"/>
        <v>#NAME?</v>
      </c>
      <c r="K26" s="31" t="s">
        <v>112</v>
      </c>
      <c r="M26" s="31">
        <f t="shared" si="1"/>
        <v>0</v>
      </c>
    </row>
    <row r="27" spans="1:13" ht="13">
      <c r="A27" s="31" t="s">
        <v>534</v>
      </c>
      <c r="B27" s="31" t="s">
        <v>62</v>
      </c>
      <c r="C27" s="33" t="s">
        <v>535</v>
      </c>
      <c r="D27" s="31">
        <v>0</v>
      </c>
      <c r="E27" s="31">
        <v>1</v>
      </c>
      <c r="F27" s="31" t="s">
        <v>536</v>
      </c>
      <c r="G27" s="31">
        <v>0</v>
      </c>
      <c r="H27" s="31">
        <v>1</v>
      </c>
      <c r="I27" s="31" t="e">
        <f t="shared" ca="1" si="0"/>
        <v>#NAME?</v>
      </c>
      <c r="L27" s="31">
        <v>1</v>
      </c>
      <c r="M27" s="31">
        <f t="shared" si="1"/>
        <v>1</v>
      </c>
    </row>
    <row r="28" spans="1:13" ht="13">
      <c r="A28" s="31" t="s">
        <v>534</v>
      </c>
      <c r="B28" s="31" t="s">
        <v>62</v>
      </c>
      <c r="C28" s="31" t="s">
        <v>537</v>
      </c>
      <c r="D28" s="31">
        <v>0</v>
      </c>
      <c r="E28" s="31">
        <v>1</v>
      </c>
      <c r="F28" s="31" t="s">
        <v>538</v>
      </c>
      <c r="G28" s="31">
        <v>0</v>
      </c>
      <c r="H28" s="31">
        <v>1</v>
      </c>
      <c r="I28" s="31" t="e">
        <f t="shared" ca="1" si="0"/>
        <v>#NAME?</v>
      </c>
      <c r="M28" s="31">
        <f t="shared" si="1"/>
        <v>0</v>
      </c>
    </row>
    <row r="29" spans="1:13" ht="13">
      <c r="A29" s="31" t="s">
        <v>539</v>
      </c>
      <c r="B29" s="31" t="s">
        <v>28</v>
      </c>
      <c r="C29" s="33" t="s">
        <v>540</v>
      </c>
      <c r="D29" s="31">
        <v>1</v>
      </c>
      <c r="E29" s="31">
        <v>0</v>
      </c>
      <c r="G29" s="34"/>
      <c r="I29" s="31" t="str">
        <f t="shared" si="0"/>
        <v/>
      </c>
      <c r="M29" s="31">
        <f t="shared" si="1"/>
        <v>1</v>
      </c>
    </row>
    <row r="30" spans="1:13" ht="13">
      <c r="A30" s="31" t="s">
        <v>541</v>
      </c>
      <c r="B30" s="31" t="s">
        <v>28</v>
      </c>
      <c r="C30" s="33" t="s">
        <v>542</v>
      </c>
      <c r="D30" s="31">
        <v>0</v>
      </c>
      <c r="E30" s="31">
        <v>1</v>
      </c>
      <c r="F30" s="31" t="s">
        <v>543</v>
      </c>
      <c r="G30" s="34"/>
      <c r="I30" s="31" t="str">
        <f t="shared" si="0"/>
        <v/>
      </c>
      <c r="L30" s="31">
        <v>0</v>
      </c>
      <c r="M30" s="31">
        <f t="shared" si="1"/>
        <v>1</v>
      </c>
    </row>
    <row r="31" spans="1:13" ht="13">
      <c r="A31" s="31" t="s">
        <v>544</v>
      </c>
      <c r="B31" s="31" t="s">
        <v>28</v>
      </c>
      <c r="C31" s="33" t="s">
        <v>545</v>
      </c>
      <c r="D31" s="31">
        <v>1</v>
      </c>
      <c r="E31" s="31">
        <v>0</v>
      </c>
      <c r="G31" s="34"/>
      <c r="I31" s="31" t="str">
        <f t="shared" si="0"/>
        <v/>
      </c>
      <c r="M31" s="31">
        <f t="shared" si="1"/>
        <v>1</v>
      </c>
    </row>
    <row r="32" spans="1:13" ht="13">
      <c r="A32" s="31" t="s">
        <v>546</v>
      </c>
      <c r="B32" s="31" t="s">
        <v>28</v>
      </c>
      <c r="C32" s="33" t="s">
        <v>547</v>
      </c>
      <c r="D32" s="31">
        <v>1</v>
      </c>
      <c r="E32" s="31">
        <v>0</v>
      </c>
      <c r="G32" s="34"/>
      <c r="I32" s="31" t="str">
        <f t="shared" si="0"/>
        <v/>
      </c>
      <c r="M32" s="31">
        <f t="shared" si="1"/>
        <v>1</v>
      </c>
    </row>
    <row r="33" spans="1:13" ht="13">
      <c r="A33" s="31" t="s">
        <v>548</v>
      </c>
      <c r="B33" s="31" t="s">
        <v>28</v>
      </c>
      <c r="C33" s="33" t="s">
        <v>549</v>
      </c>
      <c r="D33" s="31">
        <v>0</v>
      </c>
      <c r="E33" s="31">
        <v>0</v>
      </c>
      <c r="F33" s="31" t="s">
        <v>550</v>
      </c>
      <c r="G33" s="31">
        <v>0</v>
      </c>
      <c r="H33" s="31">
        <v>1</v>
      </c>
      <c r="I33" s="31" t="e">
        <f t="shared" ca="1" si="0"/>
        <v>#NAME?</v>
      </c>
      <c r="L33" s="31">
        <v>0</v>
      </c>
      <c r="M33" s="31">
        <f t="shared" si="1"/>
        <v>1</v>
      </c>
    </row>
    <row r="34" spans="1:13" ht="13">
      <c r="A34" s="31" t="s">
        <v>548</v>
      </c>
      <c r="B34" s="31" t="s">
        <v>28</v>
      </c>
      <c r="C34" s="33" t="s">
        <v>549</v>
      </c>
      <c r="D34" s="31">
        <v>0</v>
      </c>
      <c r="E34" s="31">
        <v>0</v>
      </c>
      <c r="F34" s="31" t="s">
        <v>551</v>
      </c>
      <c r="G34" s="31">
        <v>0</v>
      </c>
      <c r="H34" s="31">
        <v>1</v>
      </c>
      <c r="I34" s="31" t="e">
        <f t="shared" ca="1" si="0"/>
        <v>#NAME?</v>
      </c>
      <c r="M34" s="31">
        <f t="shared" si="1"/>
        <v>0</v>
      </c>
    </row>
    <row r="35" spans="1:13" ht="13">
      <c r="A35" s="31" t="s">
        <v>548</v>
      </c>
      <c r="B35" s="31" t="s">
        <v>28</v>
      </c>
      <c r="C35" s="33" t="s">
        <v>549</v>
      </c>
      <c r="D35" s="31">
        <v>0</v>
      </c>
      <c r="E35" s="31">
        <v>0</v>
      </c>
      <c r="F35" s="31" t="s">
        <v>552</v>
      </c>
      <c r="G35" s="31">
        <v>0</v>
      </c>
      <c r="H35" s="31">
        <v>1</v>
      </c>
      <c r="I35" s="31" t="e">
        <f t="shared" ca="1" si="0"/>
        <v>#NAME?</v>
      </c>
      <c r="M35" s="31">
        <f t="shared" si="1"/>
        <v>0</v>
      </c>
    </row>
    <row r="36" spans="1:13" ht="13">
      <c r="A36" s="31" t="s">
        <v>548</v>
      </c>
      <c r="B36" s="31" t="s">
        <v>28</v>
      </c>
      <c r="C36" s="33" t="s">
        <v>549</v>
      </c>
      <c r="D36" s="31">
        <v>0</v>
      </c>
      <c r="E36" s="31">
        <v>0</v>
      </c>
      <c r="F36" s="31" t="s">
        <v>553</v>
      </c>
      <c r="G36" s="31">
        <v>0</v>
      </c>
      <c r="H36" s="31">
        <v>1</v>
      </c>
      <c r="I36" s="31" t="e">
        <f t="shared" ca="1" si="0"/>
        <v>#NAME?</v>
      </c>
      <c r="M36" s="31">
        <f t="shared" si="1"/>
        <v>0</v>
      </c>
    </row>
    <row r="37" spans="1:13" ht="13">
      <c r="A37" s="31" t="s">
        <v>548</v>
      </c>
      <c r="B37" s="31" t="s">
        <v>28</v>
      </c>
      <c r="C37" s="33" t="s">
        <v>549</v>
      </c>
      <c r="D37" s="31">
        <v>0</v>
      </c>
      <c r="E37" s="31">
        <v>0</v>
      </c>
      <c r="F37" s="31" t="s">
        <v>554</v>
      </c>
      <c r="G37" s="31">
        <v>0</v>
      </c>
      <c r="H37" s="31">
        <v>1</v>
      </c>
      <c r="I37" s="31" t="e">
        <f t="shared" ca="1" si="0"/>
        <v>#NAME?</v>
      </c>
      <c r="M37" s="31">
        <f t="shared" si="1"/>
        <v>0</v>
      </c>
    </row>
    <row r="38" spans="1:13" ht="13">
      <c r="A38" s="31" t="s">
        <v>548</v>
      </c>
      <c r="B38" s="31" t="s">
        <v>28</v>
      </c>
      <c r="C38" s="33" t="s">
        <v>549</v>
      </c>
      <c r="D38" s="31">
        <v>0</v>
      </c>
      <c r="E38" s="31">
        <v>0</v>
      </c>
      <c r="F38" s="31" t="s">
        <v>555</v>
      </c>
      <c r="G38" s="31">
        <v>0</v>
      </c>
      <c r="H38" s="31">
        <v>1</v>
      </c>
      <c r="I38" s="31" t="e">
        <f t="shared" ca="1" si="0"/>
        <v>#NAME?</v>
      </c>
      <c r="M38" s="31">
        <f t="shared" si="1"/>
        <v>0</v>
      </c>
    </row>
    <row r="39" spans="1:13" ht="13">
      <c r="A39" s="31" t="s">
        <v>556</v>
      </c>
      <c r="B39" s="31" t="s">
        <v>28</v>
      </c>
      <c r="C39" s="33" t="s">
        <v>557</v>
      </c>
      <c r="D39" s="31">
        <v>0</v>
      </c>
      <c r="E39" s="31">
        <v>0</v>
      </c>
      <c r="F39" s="31" t="s">
        <v>558</v>
      </c>
      <c r="G39" s="31">
        <v>0</v>
      </c>
      <c r="H39" s="31">
        <v>1</v>
      </c>
      <c r="I39" s="31" t="e">
        <f t="shared" ca="1" si="0"/>
        <v>#NAME?</v>
      </c>
      <c r="L39" s="31">
        <v>0</v>
      </c>
      <c r="M39" s="31">
        <f t="shared" si="1"/>
        <v>1</v>
      </c>
    </row>
    <row r="40" spans="1:13" ht="13">
      <c r="A40" s="31" t="s">
        <v>556</v>
      </c>
      <c r="B40" s="31" t="s">
        <v>28</v>
      </c>
      <c r="C40" s="31" t="s">
        <v>559</v>
      </c>
      <c r="D40" s="31">
        <v>0</v>
      </c>
      <c r="E40" s="31">
        <v>0</v>
      </c>
      <c r="F40" s="31" t="s">
        <v>560</v>
      </c>
      <c r="G40" s="31">
        <v>0</v>
      </c>
      <c r="H40" s="31">
        <v>1</v>
      </c>
      <c r="I40" s="31" t="e">
        <f t="shared" ca="1" si="0"/>
        <v>#NAME?</v>
      </c>
      <c r="M40" s="31">
        <f t="shared" si="1"/>
        <v>0</v>
      </c>
    </row>
    <row r="41" spans="1:13" ht="13">
      <c r="A41" s="31" t="s">
        <v>556</v>
      </c>
      <c r="B41" s="31" t="s">
        <v>28</v>
      </c>
      <c r="C41" s="31" t="s">
        <v>561</v>
      </c>
      <c r="D41" s="31">
        <v>0</v>
      </c>
      <c r="E41" s="31">
        <v>0</v>
      </c>
      <c r="F41" s="31" t="s">
        <v>562</v>
      </c>
      <c r="G41" s="31">
        <v>0</v>
      </c>
      <c r="H41" s="31">
        <v>1</v>
      </c>
      <c r="I41" s="31" t="e">
        <f t="shared" ca="1" si="0"/>
        <v>#NAME?</v>
      </c>
      <c r="M41" s="31">
        <f t="shared" si="1"/>
        <v>0</v>
      </c>
    </row>
    <row r="42" spans="1:13" ht="13">
      <c r="A42" s="31" t="s">
        <v>556</v>
      </c>
      <c r="B42" s="31" t="s">
        <v>28</v>
      </c>
      <c r="C42" s="31" t="s">
        <v>563</v>
      </c>
      <c r="D42" s="31">
        <v>0</v>
      </c>
      <c r="E42" s="31">
        <v>0</v>
      </c>
      <c r="F42" s="31" t="s">
        <v>564</v>
      </c>
      <c r="G42" s="31">
        <v>0</v>
      </c>
      <c r="H42" s="31">
        <v>1</v>
      </c>
      <c r="I42" s="31" t="e">
        <f t="shared" ca="1" si="0"/>
        <v>#NAME?</v>
      </c>
      <c r="M42" s="31">
        <f t="shared" si="1"/>
        <v>0</v>
      </c>
    </row>
    <row r="43" spans="1:13" ht="13">
      <c r="A43" s="31" t="s">
        <v>565</v>
      </c>
      <c r="B43" s="31" t="s">
        <v>74</v>
      </c>
      <c r="C43" s="33" t="s">
        <v>457</v>
      </c>
      <c r="D43" s="31">
        <v>0</v>
      </c>
      <c r="E43" s="31">
        <v>1</v>
      </c>
      <c r="F43" s="31" t="s">
        <v>566</v>
      </c>
      <c r="G43" s="31">
        <v>0</v>
      </c>
      <c r="H43" s="31">
        <v>1</v>
      </c>
      <c r="I43" s="31" t="e">
        <f t="shared" ca="1" si="0"/>
        <v>#NAME?</v>
      </c>
      <c r="L43" s="31">
        <v>0</v>
      </c>
      <c r="M43" s="31">
        <f t="shared" si="1"/>
        <v>1</v>
      </c>
    </row>
    <row r="44" spans="1:13" ht="13">
      <c r="A44" s="31" t="s">
        <v>565</v>
      </c>
      <c r="B44" s="31" t="s">
        <v>74</v>
      </c>
      <c r="C44" s="33" t="s">
        <v>457</v>
      </c>
      <c r="D44" s="31">
        <v>0</v>
      </c>
      <c r="E44" s="31">
        <v>1</v>
      </c>
      <c r="F44" s="31" t="s">
        <v>567</v>
      </c>
      <c r="G44" s="31">
        <v>0</v>
      </c>
      <c r="H44" s="31">
        <v>1</v>
      </c>
      <c r="I44" s="31" t="e">
        <f t="shared" ca="1" si="0"/>
        <v>#NAME?</v>
      </c>
      <c r="M44" s="31">
        <f t="shared" si="1"/>
        <v>0</v>
      </c>
    </row>
    <row r="45" spans="1:13" ht="13">
      <c r="A45" s="31" t="s">
        <v>565</v>
      </c>
      <c r="B45" s="31" t="s">
        <v>74</v>
      </c>
      <c r="C45" s="33" t="s">
        <v>457</v>
      </c>
      <c r="D45" s="31">
        <v>0</v>
      </c>
      <c r="E45" s="31">
        <v>1</v>
      </c>
      <c r="F45" s="31" t="s">
        <v>568</v>
      </c>
      <c r="G45" s="31">
        <v>0</v>
      </c>
      <c r="H45" s="31">
        <v>1</v>
      </c>
      <c r="I45" s="31" t="e">
        <f t="shared" ca="1" si="0"/>
        <v>#NAME?</v>
      </c>
      <c r="M45" s="31">
        <f t="shared" si="1"/>
        <v>0</v>
      </c>
    </row>
    <row r="46" spans="1:13" ht="13">
      <c r="A46" s="31" t="s">
        <v>565</v>
      </c>
      <c r="B46" s="31" t="s">
        <v>74</v>
      </c>
      <c r="C46" s="33" t="s">
        <v>457</v>
      </c>
      <c r="D46" s="31">
        <v>0</v>
      </c>
      <c r="E46" s="31">
        <v>1</v>
      </c>
      <c r="F46" s="31" t="s">
        <v>569</v>
      </c>
      <c r="G46" s="31">
        <v>0</v>
      </c>
      <c r="H46" s="31">
        <v>1</v>
      </c>
      <c r="I46" s="31" t="e">
        <f t="shared" ca="1" si="0"/>
        <v>#NAME?</v>
      </c>
      <c r="M46" s="31">
        <f t="shared" si="1"/>
        <v>0</v>
      </c>
    </row>
    <row r="47" spans="1:13" ht="13">
      <c r="A47" s="31" t="s">
        <v>570</v>
      </c>
      <c r="B47" s="31" t="s">
        <v>74</v>
      </c>
      <c r="C47" s="33" t="s">
        <v>458</v>
      </c>
      <c r="D47" s="31">
        <v>0</v>
      </c>
      <c r="E47" s="31">
        <v>0</v>
      </c>
      <c r="F47" s="31" t="s">
        <v>571</v>
      </c>
      <c r="G47" s="31">
        <v>0</v>
      </c>
      <c r="H47" s="31">
        <v>1</v>
      </c>
      <c r="I47" s="31" t="e">
        <f t="shared" ca="1" si="0"/>
        <v>#NAME?</v>
      </c>
      <c r="L47" s="31">
        <v>0</v>
      </c>
      <c r="M47" s="31">
        <f t="shared" si="1"/>
        <v>1</v>
      </c>
    </row>
    <row r="48" spans="1:13" ht="13">
      <c r="A48" s="31" t="s">
        <v>570</v>
      </c>
      <c r="B48" s="31" t="s">
        <v>74</v>
      </c>
      <c r="C48" s="33" t="s">
        <v>458</v>
      </c>
      <c r="D48" s="31">
        <v>0</v>
      </c>
      <c r="E48" s="31">
        <v>0</v>
      </c>
      <c r="F48" s="31" t="s">
        <v>572</v>
      </c>
      <c r="G48" s="31">
        <v>0</v>
      </c>
      <c r="H48" s="31">
        <v>1</v>
      </c>
      <c r="I48" s="31" t="e">
        <f t="shared" ca="1" si="0"/>
        <v>#NAME?</v>
      </c>
      <c r="M48" s="31">
        <f t="shared" si="1"/>
        <v>0</v>
      </c>
    </row>
    <row r="49" spans="1:13" ht="13">
      <c r="A49" s="31" t="s">
        <v>570</v>
      </c>
      <c r="B49" s="31" t="s">
        <v>74</v>
      </c>
      <c r="C49" s="33" t="s">
        <v>458</v>
      </c>
      <c r="D49" s="31">
        <v>0</v>
      </c>
      <c r="E49" s="31">
        <v>0</v>
      </c>
      <c r="F49" s="31" t="s">
        <v>573</v>
      </c>
      <c r="G49" s="31">
        <v>0</v>
      </c>
      <c r="H49" s="31">
        <v>1</v>
      </c>
      <c r="I49" s="31" t="e">
        <f t="shared" ca="1" si="0"/>
        <v>#NAME?</v>
      </c>
      <c r="M49" s="31">
        <f t="shared" si="1"/>
        <v>0</v>
      </c>
    </row>
    <row r="50" spans="1:13" ht="13">
      <c r="A50" s="34" t="s">
        <v>574</v>
      </c>
      <c r="B50" s="31" t="s">
        <v>74</v>
      </c>
      <c r="C50" s="33" t="s">
        <v>478</v>
      </c>
      <c r="D50" s="31">
        <v>0</v>
      </c>
      <c r="E50" s="31">
        <v>0</v>
      </c>
      <c r="F50" s="31" t="s">
        <v>575</v>
      </c>
      <c r="G50" s="31">
        <v>0</v>
      </c>
      <c r="H50" s="31">
        <v>1</v>
      </c>
      <c r="I50" s="31" t="e">
        <f t="shared" ca="1" si="0"/>
        <v>#NAME?</v>
      </c>
      <c r="L50" s="31">
        <v>0</v>
      </c>
      <c r="M50" s="31">
        <f t="shared" si="1"/>
        <v>1</v>
      </c>
    </row>
    <row r="51" spans="1:13" ht="13">
      <c r="A51" s="34" t="s">
        <v>576</v>
      </c>
      <c r="B51" s="31" t="s">
        <v>74</v>
      </c>
      <c r="C51" s="33" t="s">
        <v>479</v>
      </c>
      <c r="D51" s="31">
        <v>0</v>
      </c>
      <c r="E51" s="31">
        <v>0</v>
      </c>
      <c r="F51" s="31" t="s">
        <v>577</v>
      </c>
      <c r="G51" s="31">
        <v>0</v>
      </c>
      <c r="H51" s="31">
        <v>1</v>
      </c>
      <c r="I51" s="31" t="e">
        <f t="shared" ca="1" si="0"/>
        <v>#NAME?</v>
      </c>
      <c r="L51" s="31">
        <v>0</v>
      </c>
      <c r="M51" s="31">
        <f t="shared" si="1"/>
        <v>1</v>
      </c>
    </row>
    <row r="52" spans="1:13" ht="13">
      <c r="A52" s="34" t="s">
        <v>576</v>
      </c>
      <c r="B52" s="31" t="s">
        <v>74</v>
      </c>
      <c r="C52" s="33" t="s">
        <v>479</v>
      </c>
      <c r="D52" s="31">
        <v>0</v>
      </c>
      <c r="E52" s="31">
        <v>0</v>
      </c>
      <c r="F52" s="31" t="s">
        <v>578</v>
      </c>
      <c r="G52" s="31">
        <v>0</v>
      </c>
      <c r="H52" s="31">
        <v>1</v>
      </c>
      <c r="I52" s="31" t="e">
        <f t="shared" ca="1" si="0"/>
        <v>#NAME?</v>
      </c>
      <c r="L52" s="31">
        <v>0</v>
      </c>
      <c r="M52" s="31">
        <f t="shared" si="1"/>
        <v>0</v>
      </c>
    </row>
    <row r="53" spans="1:13" ht="16">
      <c r="A53" s="35" t="s">
        <v>27</v>
      </c>
      <c r="B53" s="31" t="s">
        <v>50</v>
      </c>
      <c r="C53" s="36"/>
      <c r="D53" s="31">
        <v>0</v>
      </c>
      <c r="E53" s="36">
        <v>0</v>
      </c>
      <c r="F53" s="48" t="s">
        <v>31</v>
      </c>
      <c r="G53" s="36">
        <v>1</v>
      </c>
      <c r="H53" s="36">
        <v>0</v>
      </c>
      <c r="I53" s="31" t="e">
        <f t="shared" ca="1" si="0"/>
        <v>#NAME?</v>
      </c>
      <c r="K53" s="36"/>
      <c r="L53" s="31">
        <v>0</v>
      </c>
      <c r="M53" s="31">
        <f t="shared" si="1"/>
        <v>1</v>
      </c>
    </row>
    <row r="54" spans="1:13" ht="16">
      <c r="A54" s="35" t="s">
        <v>32</v>
      </c>
      <c r="B54" s="31" t="s">
        <v>50</v>
      </c>
      <c r="C54" s="36"/>
      <c r="D54" s="31">
        <v>0</v>
      </c>
      <c r="E54" s="36">
        <v>0</v>
      </c>
      <c r="F54" s="36" t="s">
        <v>120</v>
      </c>
      <c r="G54" s="36">
        <v>1</v>
      </c>
      <c r="H54" s="36">
        <v>0</v>
      </c>
      <c r="I54" s="31" t="e">
        <f t="shared" ca="1" si="0"/>
        <v>#NAME?</v>
      </c>
      <c r="K54" s="36"/>
      <c r="L54" s="31">
        <v>1</v>
      </c>
      <c r="M54" s="31">
        <f t="shared" si="1"/>
        <v>1</v>
      </c>
    </row>
    <row r="55" spans="1:13" ht="16">
      <c r="A55" s="35" t="s">
        <v>32</v>
      </c>
      <c r="B55" s="31" t="s">
        <v>50</v>
      </c>
      <c r="C55" s="36"/>
      <c r="D55" s="31">
        <v>0</v>
      </c>
      <c r="E55" s="36">
        <v>0</v>
      </c>
      <c r="F55" s="36" t="s">
        <v>21</v>
      </c>
      <c r="G55" s="36">
        <v>1</v>
      </c>
      <c r="H55" s="36">
        <v>1</v>
      </c>
      <c r="I55" s="31" t="e">
        <f t="shared" ca="1" si="0"/>
        <v>#NAME?</v>
      </c>
      <c r="K55" s="36"/>
      <c r="L55" s="31">
        <v>1</v>
      </c>
      <c r="M55" s="31">
        <f t="shared" si="1"/>
        <v>0</v>
      </c>
    </row>
    <row r="56" spans="1:13" ht="16">
      <c r="A56" s="35" t="s">
        <v>32</v>
      </c>
      <c r="B56" s="31" t="s">
        <v>50</v>
      </c>
      <c r="C56" s="36"/>
      <c r="D56" s="31">
        <v>0</v>
      </c>
      <c r="E56" s="36">
        <v>0</v>
      </c>
      <c r="F56" s="36" t="s">
        <v>126</v>
      </c>
      <c r="G56" s="36">
        <v>1</v>
      </c>
      <c r="H56" s="36">
        <v>0</v>
      </c>
      <c r="I56" s="31" t="e">
        <f t="shared" ca="1" si="0"/>
        <v>#NAME?</v>
      </c>
      <c r="K56" s="36"/>
      <c r="L56" s="31">
        <v>1</v>
      </c>
      <c r="M56" s="31">
        <f t="shared" si="1"/>
        <v>0</v>
      </c>
    </row>
    <row r="57" spans="1:13" ht="16">
      <c r="A57" s="35" t="s">
        <v>34</v>
      </c>
      <c r="B57" s="31" t="s">
        <v>50</v>
      </c>
      <c r="C57" s="36"/>
      <c r="D57" s="31">
        <v>0</v>
      </c>
      <c r="E57" s="36">
        <v>1</v>
      </c>
      <c r="F57" s="48" t="s">
        <v>1</v>
      </c>
      <c r="G57" s="36">
        <v>1</v>
      </c>
      <c r="H57" s="36">
        <v>1</v>
      </c>
      <c r="I57" s="31" t="e">
        <f t="shared" ca="1" si="0"/>
        <v>#NAME?</v>
      </c>
      <c r="K57" s="36"/>
      <c r="L57" s="31">
        <v>1</v>
      </c>
      <c r="M57" s="31">
        <f t="shared" si="1"/>
        <v>1</v>
      </c>
    </row>
    <row r="58" spans="1:13" ht="16">
      <c r="A58" s="35" t="s">
        <v>36</v>
      </c>
      <c r="B58" s="31" t="s">
        <v>50</v>
      </c>
      <c r="C58" s="36"/>
      <c r="D58" s="31">
        <v>0</v>
      </c>
      <c r="E58" s="36">
        <v>0</v>
      </c>
      <c r="F58" s="36" t="s">
        <v>37</v>
      </c>
      <c r="G58" s="36">
        <v>0</v>
      </c>
      <c r="H58" s="36">
        <v>0</v>
      </c>
      <c r="I58" s="31" t="e">
        <f t="shared" ca="1" si="0"/>
        <v>#NAME?</v>
      </c>
      <c r="K58" s="36"/>
      <c r="L58" s="31">
        <v>1</v>
      </c>
      <c r="M58" s="31">
        <f t="shared" si="1"/>
        <v>1</v>
      </c>
    </row>
    <row r="59" spans="1:13" ht="16">
      <c r="A59" s="35" t="s">
        <v>38</v>
      </c>
      <c r="B59" s="31" t="s">
        <v>50</v>
      </c>
      <c r="C59" s="35"/>
      <c r="D59" s="31">
        <v>0</v>
      </c>
      <c r="E59" s="36">
        <v>0</v>
      </c>
      <c r="F59" s="36" t="s">
        <v>39</v>
      </c>
      <c r="G59" s="36">
        <v>1</v>
      </c>
      <c r="H59" s="36">
        <v>0</v>
      </c>
      <c r="I59" s="31" t="e">
        <f t="shared" ca="1" si="0"/>
        <v>#NAME?</v>
      </c>
      <c r="K59" s="36"/>
      <c r="L59" s="31">
        <v>1</v>
      </c>
      <c r="M59" s="31">
        <f t="shared" si="1"/>
        <v>1</v>
      </c>
    </row>
    <row r="60" spans="1:13" ht="16">
      <c r="A60" s="36" t="s">
        <v>40</v>
      </c>
      <c r="B60" s="31" t="s">
        <v>50</v>
      </c>
      <c r="C60" s="35" t="s">
        <v>41</v>
      </c>
      <c r="D60" s="31">
        <v>0</v>
      </c>
      <c r="E60" s="36">
        <v>0</v>
      </c>
      <c r="F60" s="36" t="s">
        <v>42</v>
      </c>
      <c r="G60" s="36">
        <v>0</v>
      </c>
      <c r="H60" s="36">
        <v>0</v>
      </c>
      <c r="I60" s="31" t="e">
        <f t="shared" ca="1" si="0"/>
        <v>#NAME?</v>
      </c>
      <c r="K60" s="36"/>
      <c r="L60" s="31">
        <v>1</v>
      </c>
      <c r="M60" s="31">
        <f t="shared" si="1"/>
        <v>1</v>
      </c>
    </row>
    <row r="61" spans="1:13" ht="16">
      <c r="A61" s="35" t="s">
        <v>43</v>
      </c>
      <c r="B61" s="31" t="s">
        <v>50</v>
      </c>
      <c r="C61" s="35"/>
      <c r="D61" s="31">
        <v>0</v>
      </c>
      <c r="E61" s="36">
        <v>0</v>
      </c>
      <c r="F61" s="36" t="s">
        <v>42</v>
      </c>
      <c r="G61" s="36">
        <v>1</v>
      </c>
      <c r="H61" s="36">
        <v>0</v>
      </c>
      <c r="I61" s="31" t="e">
        <f t="shared" ca="1" si="0"/>
        <v>#NAME?</v>
      </c>
      <c r="K61" s="36"/>
      <c r="L61" s="31">
        <v>0</v>
      </c>
      <c r="M61" s="31">
        <f t="shared" si="1"/>
        <v>1</v>
      </c>
    </row>
    <row r="62" spans="1:13" ht="16">
      <c r="A62" s="35" t="s">
        <v>44</v>
      </c>
      <c r="B62" s="31" t="s">
        <v>50</v>
      </c>
      <c r="C62" s="35"/>
      <c r="D62" s="31">
        <v>0</v>
      </c>
      <c r="E62" s="36">
        <v>0</v>
      </c>
      <c r="F62" s="36" t="s">
        <v>45</v>
      </c>
      <c r="G62" s="36">
        <v>1</v>
      </c>
      <c r="H62" s="36"/>
      <c r="I62" s="31" t="str">
        <f t="shared" si="0"/>
        <v/>
      </c>
      <c r="K62" s="36"/>
      <c r="L62" s="31">
        <v>0</v>
      </c>
      <c r="M62" s="31">
        <f t="shared" si="1"/>
        <v>1</v>
      </c>
    </row>
    <row r="63" spans="1:13" ht="16">
      <c r="A63" s="35" t="s">
        <v>46</v>
      </c>
      <c r="B63" s="31" t="s">
        <v>50</v>
      </c>
      <c r="C63" s="35"/>
      <c r="D63" s="31">
        <v>0</v>
      </c>
      <c r="E63" s="36">
        <v>0</v>
      </c>
      <c r="F63" s="48" t="s">
        <v>1</v>
      </c>
      <c r="G63" s="36">
        <v>1</v>
      </c>
      <c r="H63" s="36">
        <v>1</v>
      </c>
      <c r="I63" s="31" t="e">
        <f t="shared" ca="1" si="0"/>
        <v>#NAME?</v>
      </c>
      <c r="K63" s="36"/>
      <c r="L63" s="31">
        <v>1</v>
      </c>
      <c r="M63" s="31">
        <f t="shared" si="1"/>
        <v>1</v>
      </c>
    </row>
    <row r="64" spans="1:13" ht="16">
      <c r="A64" s="35" t="s">
        <v>47</v>
      </c>
      <c r="B64" s="31" t="s">
        <v>50</v>
      </c>
      <c r="C64" s="35"/>
      <c r="D64" s="31">
        <v>0</v>
      </c>
      <c r="E64" s="36">
        <v>1</v>
      </c>
      <c r="F64" s="36" t="s">
        <v>48</v>
      </c>
      <c r="G64" s="36">
        <v>0</v>
      </c>
      <c r="H64" s="36">
        <v>1</v>
      </c>
      <c r="I64" s="31" t="e">
        <f t="shared" ca="1" si="0"/>
        <v>#NAME?</v>
      </c>
      <c r="K64" s="36"/>
      <c r="L64" s="31">
        <v>0</v>
      </c>
      <c r="M64" s="31">
        <f t="shared" si="1"/>
        <v>1</v>
      </c>
    </row>
    <row r="65" spans="1:13" ht="16">
      <c r="A65" s="35" t="s">
        <v>51</v>
      </c>
      <c r="B65" s="31" t="s">
        <v>50</v>
      </c>
      <c r="C65" s="36"/>
      <c r="D65" s="31">
        <v>0</v>
      </c>
      <c r="E65" s="36">
        <v>0</v>
      </c>
      <c r="F65" s="36" t="s">
        <v>52</v>
      </c>
      <c r="G65" s="36">
        <v>0</v>
      </c>
      <c r="H65" s="36">
        <v>0</v>
      </c>
      <c r="I65" s="31" t="e">
        <f t="shared" ca="1" si="0"/>
        <v>#NAME?</v>
      </c>
      <c r="K65" s="36"/>
      <c r="L65" s="31">
        <v>0</v>
      </c>
      <c r="M65" s="31">
        <f t="shared" si="1"/>
        <v>1</v>
      </c>
    </row>
    <row r="66" spans="1:13" ht="16">
      <c r="A66" s="35" t="s">
        <v>53</v>
      </c>
      <c r="B66" s="31" t="s">
        <v>50</v>
      </c>
      <c r="C66" s="36"/>
      <c r="D66" s="31">
        <v>0</v>
      </c>
      <c r="E66" s="36">
        <v>1</v>
      </c>
      <c r="F66" s="36" t="s">
        <v>23</v>
      </c>
      <c r="G66" s="36">
        <v>1</v>
      </c>
      <c r="H66" s="36">
        <v>1</v>
      </c>
      <c r="I66" s="31" t="e">
        <f t="shared" ca="1" si="0"/>
        <v>#NAME?</v>
      </c>
      <c r="J66" s="34"/>
      <c r="K66" s="36" t="s">
        <v>55</v>
      </c>
      <c r="L66" s="31">
        <v>0</v>
      </c>
      <c r="M66" s="31">
        <f t="shared" si="1"/>
        <v>1</v>
      </c>
    </row>
    <row r="67" spans="1:13" ht="16">
      <c r="A67" s="35" t="s">
        <v>56</v>
      </c>
      <c r="B67" s="31" t="s">
        <v>50</v>
      </c>
      <c r="C67" s="36"/>
      <c r="D67" s="31">
        <v>0</v>
      </c>
      <c r="E67" s="36">
        <v>0</v>
      </c>
      <c r="F67" s="36" t="s">
        <v>148</v>
      </c>
      <c r="G67" s="36">
        <v>0</v>
      </c>
      <c r="H67" s="36">
        <v>1</v>
      </c>
      <c r="I67" s="31" t="e">
        <f t="shared" ca="1" si="0"/>
        <v>#NAME?</v>
      </c>
      <c r="K67" s="36"/>
      <c r="L67" s="31">
        <v>0</v>
      </c>
      <c r="M67" s="31">
        <f t="shared" si="1"/>
        <v>1</v>
      </c>
    </row>
    <row r="68" spans="1:13" ht="16">
      <c r="A68" s="35" t="s">
        <v>56</v>
      </c>
      <c r="B68" s="31" t="s">
        <v>50</v>
      </c>
      <c r="C68" s="36"/>
      <c r="D68" s="31">
        <v>0</v>
      </c>
      <c r="E68" s="36">
        <v>0</v>
      </c>
      <c r="F68" s="36" t="s">
        <v>152</v>
      </c>
      <c r="G68" s="36">
        <v>0</v>
      </c>
      <c r="H68" s="36">
        <v>1</v>
      </c>
      <c r="I68" s="31" t="e">
        <f t="shared" ca="1" si="0"/>
        <v>#NAME?</v>
      </c>
      <c r="K68" s="36"/>
      <c r="L68" s="31">
        <v>0</v>
      </c>
      <c r="M68" s="31">
        <f t="shared" si="1"/>
        <v>0</v>
      </c>
    </row>
    <row r="69" spans="1:13" ht="16">
      <c r="A69" s="35" t="s">
        <v>58</v>
      </c>
      <c r="B69" s="31" t="s">
        <v>50</v>
      </c>
      <c r="C69" s="36"/>
      <c r="D69" s="31">
        <v>0</v>
      </c>
      <c r="E69" s="36">
        <v>0</v>
      </c>
      <c r="F69" s="36" t="s">
        <v>59</v>
      </c>
      <c r="G69" s="36">
        <v>1</v>
      </c>
      <c r="H69" s="36">
        <v>1</v>
      </c>
      <c r="I69" s="31" t="e">
        <f t="shared" ca="1" si="0"/>
        <v>#NAME?</v>
      </c>
      <c r="K69" s="36"/>
      <c r="L69" s="31">
        <v>1</v>
      </c>
      <c r="M69" s="31">
        <f t="shared" si="1"/>
        <v>1</v>
      </c>
    </row>
    <row r="70" spans="1:13" ht="16">
      <c r="A70" s="35" t="s">
        <v>60</v>
      </c>
      <c r="B70" s="31" t="s">
        <v>50</v>
      </c>
      <c r="C70" s="35"/>
      <c r="D70" s="31">
        <v>0</v>
      </c>
      <c r="E70" s="36">
        <v>0</v>
      </c>
      <c r="F70" s="36" t="s">
        <v>61</v>
      </c>
      <c r="G70" s="36">
        <v>1</v>
      </c>
      <c r="H70" s="36">
        <v>0</v>
      </c>
      <c r="I70" s="31" t="e">
        <f t="shared" ca="1" si="0"/>
        <v>#NAME?</v>
      </c>
      <c r="K70" s="36"/>
      <c r="L70" s="31">
        <v>0</v>
      </c>
      <c r="M70" s="31">
        <f t="shared" si="1"/>
        <v>1</v>
      </c>
    </row>
    <row r="71" spans="1:13" ht="16">
      <c r="A71" s="35" t="s">
        <v>64</v>
      </c>
      <c r="B71" s="31" t="s">
        <v>50</v>
      </c>
      <c r="C71" s="35"/>
      <c r="D71" s="31">
        <v>0</v>
      </c>
      <c r="E71" s="36">
        <v>0</v>
      </c>
      <c r="F71" s="36" t="s">
        <v>158</v>
      </c>
      <c r="G71" s="36">
        <v>0</v>
      </c>
      <c r="H71" s="36">
        <v>1</v>
      </c>
      <c r="I71" s="31" t="e">
        <f t="shared" ca="1" si="0"/>
        <v>#NAME?</v>
      </c>
      <c r="K71" s="36"/>
      <c r="L71" s="31">
        <v>1</v>
      </c>
      <c r="M71" s="31">
        <f t="shared" si="1"/>
        <v>1</v>
      </c>
    </row>
    <row r="72" spans="1:13" ht="16">
      <c r="A72" s="35" t="s">
        <v>64</v>
      </c>
      <c r="B72" s="31" t="s">
        <v>50</v>
      </c>
      <c r="C72" s="35"/>
      <c r="D72" s="31">
        <v>0</v>
      </c>
      <c r="E72" s="36">
        <v>0</v>
      </c>
      <c r="F72" s="36" t="s">
        <v>160</v>
      </c>
      <c r="G72" s="36">
        <v>0</v>
      </c>
      <c r="H72" s="36">
        <v>1</v>
      </c>
      <c r="I72" s="31" t="e">
        <f t="shared" ca="1" si="0"/>
        <v>#NAME?</v>
      </c>
      <c r="K72" s="36"/>
      <c r="L72" s="31">
        <v>1</v>
      </c>
      <c r="M72" s="31">
        <f t="shared" si="1"/>
        <v>0</v>
      </c>
    </row>
    <row r="73" spans="1:13" ht="16">
      <c r="A73" s="35" t="s">
        <v>66</v>
      </c>
      <c r="B73" s="31" t="s">
        <v>50</v>
      </c>
      <c r="C73" s="35"/>
      <c r="D73" s="31">
        <v>0</v>
      </c>
      <c r="E73" s="36">
        <v>0</v>
      </c>
      <c r="F73" s="36" t="s">
        <v>67</v>
      </c>
      <c r="G73" s="36">
        <v>1</v>
      </c>
      <c r="H73" s="36">
        <v>0</v>
      </c>
      <c r="I73" s="31" t="e">
        <f t="shared" ca="1" si="0"/>
        <v>#NAME?</v>
      </c>
      <c r="K73" s="36"/>
      <c r="L73" s="31">
        <v>1</v>
      </c>
      <c r="M73" s="31">
        <f t="shared" si="1"/>
        <v>1</v>
      </c>
    </row>
    <row r="74" spans="1:13" ht="16">
      <c r="A74" s="36" t="s">
        <v>68</v>
      </c>
      <c r="B74" s="31" t="s">
        <v>50</v>
      </c>
      <c r="C74" s="35" t="s">
        <v>69</v>
      </c>
      <c r="D74" s="38">
        <v>0</v>
      </c>
      <c r="E74" s="36">
        <v>0</v>
      </c>
      <c r="F74" s="31" t="s">
        <v>70</v>
      </c>
      <c r="G74" s="39">
        <v>1</v>
      </c>
      <c r="H74" s="39">
        <v>1</v>
      </c>
      <c r="I74" s="31" t="e">
        <f t="shared" ca="1" si="0"/>
        <v>#NAME?</v>
      </c>
      <c r="L74" s="38">
        <v>0</v>
      </c>
      <c r="M74" s="31">
        <f t="shared" si="1"/>
        <v>1</v>
      </c>
    </row>
    <row r="75" spans="1:13" ht="16">
      <c r="A75" s="36" t="s">
        <v>68</v>
      </c>
      <c r="B75" s="31" t="s">
        <v>50</v>
      </c>
      <c r="C75" s="35" t="s">
        <v>69</v>
      </c>
      <c r="D75" s="31">
        <v>0</v>
      </c>
      <c r="E75" s="36">
        <v>0</v>
      </c>
      <c r="F75" s="36" t="s">
        <v>177</v>
      </c>
      <c r="G75" s="37">
        <v>0</v>
      </c>
      <c r="H75" s="37">
        <v>0</v>
      </c>
      <c r="I75" s="31" t="e">
        <f t="shared" ca="1" si="0"/>
        <v>#NAME?</v>
      </c>
      <c r="K75" s="36"/>
      <c r="L75" s="31">
        <v>0</v>
      </c>
      <c r="M75" s="31">
        <f t="shared" si="1"/>
        <v>0</v>
      </c>
    </row>
    <row r="76" spans="1:13" ht="16">
      <c r="A76" s="35" t="s">
        <v>71</v>
      </c>
      <c r="B76" s="31" t="s">
        <v>50</v>
      </c>
      <c r="C76" s="35"/>
      <c r="D76" s="31">
        <v>0</v>
      </c>
      <c r="E76" s="36">
        <v>0</v>
      </c>
      <c r="F76" s="36" t="s">
        <v>72</v>
      </c>
      <c r="G76" s="36">
        <v>1</v>
      </c>
      <c r="H76" s="36">
        <v>0</v>
      </c>
      <c r="I76" s="31" t="e">
        <f t="shared" ca="1" si="0"/>
        <v>#NAME?</v>
      </c>
      <c r="K76" s="36"/>
      <c r="L76" s="31">
        <v>0</v>
      </c>
      <c r="M76" s="31">
        <f t="shared" si="1"/>
        <v>1</v>
      </c>
    </row>
    <row r="77" spans="1:13" ht="16">
      <c r="A77" s="35" t="s">
        <v>73</v>
      </c>
      <c r="B77" s="31" t="s">
        <v>50</v>
      </c>
      <c r="C77" s="35"/>
      <c r="D77" s="31">
        <v>0</v>
      </c>
      <c r="E77" s="36">
        <v>0</v>
      </c>
      <c r="F77" s="36" t="s">
        <v>75</v>
      </c>
      <c r="G77" s="36">
        <v>1</v>
      </c>
      <c r="H77" s="36">
        <v>0</v>
      </c>
      <c r="I77" s="31" t="e">
        <f t="shared" ca="1" si="0"/>
        <v>#NAME?</v>
      </c>
      <c r="K77" s="36"/>
      <c r="L77" s="31">
        <v>1</v>
      </c>
      <c r="M77" s="31">
        <f t="shared" si="1"/>
        <v>1</v>
      </c>
    </row>
    <row r="78" spans="1:13" ht="16">
      <c r="A78" s="36" t="s">
        <v>76</v>
      </c>
      <c r="B78" s="31" t="s">
        <v>50</v>
      </c>
      <c r="C78" s="35" t="s">
        <v>77</v>
      </c>
      <c r="D78" s="31">
        <v>0</v>
      </c>
      <c r="E78" s="36">
        <v>0</v>
      </c>
      <c r="F78" s="36" t="s">
        <v>22</v>
      </c>
      <c r="G78" s="36">
        <v>1</v>
      </c>
      <c r="H78" s="36">
        <v>1</v>
      </c>
      <c r="I78" s="31" t="e">
        <f t="shared" ca="1" si="0"/>
        <v>#NAME?</v>
      </c>
      <c r="K78" s="36"/>
      <c r="L78" s="31">
        <v>1</v>
      </c>
      <c r="M78" s="31">
        <f t="shared" si="1"/>
        <v>1</v>
      </c>
    </row>
    <row r="79" spans="1:13" ht="16">
      <c r="A79" s="36" t="s">
        <v>76</v>
      </c>
      <c r="B79" s="31" t="s">
        <v>50</v>
      </c>
      <c r="C79" s="35" t="s">
        <v>77</v>
      </c>
      <c r="D79" s="31">
        <v>0</v>
      </c>
      <c r="E79" s="36">
        <v>0</v>
      </c>
      <c r="F79" s="36" t="s">
        <v>191</v>
      </c>
      <c r="G79" s="36">
        <v>0</v>
      </c>
      <c r="H79" s="36">
        <v>0</v>
      </c>
      <c r="I79" s="31" t="e">
        <f t="shared" ca="1" si="0"/>
        <v>#NAME?</v>
      </c>
      <c r="K79" s="36"/>
      <c r="L79" s="31">
        <v>1</v>
      </c>
      <c r="M79" s="31">
        <f t="shared" si="1"/>
        <v>0</v>
      </c>
    </row>
    <row r="80" spans="1:13" ht="16">
      <c r="A80" s="35" t="s">
        <v>81</v>
      </c>
      <c r="B80" s="31" t="s">
        <v>50</v>
      </c>
      <c r="C80" s="36"/>
      <c r="D80" s="31">
        <v>0</v>
      </c>
      <c r="E80" s="36">
        <v>0</v>
      </c>
      <c r="F80" s="36" t="s">
        <v>82</v>
      </c>
      <c r="G80" s="36">
        <v>1</v>
      </c>
      <c r="H80" s="36">
        <v>0</v>
      </c>
      <c r="I80" s="31" t="e">
        <f t="shared" ca="1" si="0"/>
        <v>#NAME?</v>
      </c>
      <c r="K80" s="36"/>
      <c r="L80" s="31">
        <v>0</v>
      </c>
      <c r="M80" s="31">
        <f t="shared" si="1"/>
        <v>1</v>
      </c>
    </row>
    <row r="81" spans="1:13" ht="16">
      <c r="A81" s="35" t="s">
        <v>83</v>
      </c>
      <c r="B81" s="31" t="s">
        <v>50</v>
      </c>
      <c r="C81" s="35"/>
      <c r="D81" s="31">
        <v>0</v>
      </c>
      <c r="E81" s="36">
        <v>0</v>
      </c>
      <c r="F81" s="36" t="s">
        <v>1</v>
      </c>
      <c r="G81" s="36">
        <v>1</v>
      </c>
      <c r="H81" s="36">
        <v>1</v>
      </c>
      <c r="I81" s="31" t="e">
        <f t="shared" ca="1" si="0"/>
        <v>#NAME?</v>
      </c>
      <c r="K81" s="36"/>
      <c r="L81" s="31">
        <v>1</v>
      </c>
      <c r="M81" s="31">
        <f t="shared" si="1"/>
        <v>1</v>
      </c>
    </row>
    <row r="82" spans="1:13" ht="16">
      <c r="A82" s="35" t="s">
        <v>84</v>
      </c>
      <c r="B82" s="31" t="s">
        <v>50</v>
      </c>
      <c r="C82" s="35"/>
      <c r="D82" s="31">
        <v>0</v>
      </c>
      <c r="E82" s="36">
        <v>0</v>
      </c>
      <c r="F82" s="36" t="s">
        <v>201</v>
      </c>
      <c r="G82" s="36">
        <v>1</v>
      </c>
      <c r="H82" s="36">
        <v>1</v>
      </c>
      <c r="I82" s="31" t="e">
        <f t="shared" ca="1" si="0"/>
        <v>#NAME?</v>
      </c>
      <c r="K82" s="36"/>
      <c r="L82" s="31">
        <v>0</v>
      </c>
      <c r="M82" s="31">
        <f t="shared" si="1"/>
        <v>1</v>
      </c>
    </row>
    <row r="83" spans="1:13" ht="16">
      <c r="A83" s="35" t="s">
        <v>84</v>
      </c>
      <c r="B83" s="31" t="s">
        <v>50</v>
      </c>
      <c r="C83" s="35"/>
      <c r="D83" s="31">
        <v>0</v>
      </c>
      <c r="E83" s="36">
        <v>0</v>
      </c>
      <c r="F83" s="36" t="s">
        <v>86</v>
      </c>
      <c r="G83" s="36">
        <v>0</v>
      </c>
      <c r="H83" s="36">
        <v>0</v>
      </c>
      <c r="I83" s="31" t="e">
        <f t="shared" ca="1" si="0"/>
        <v>#NAME?</v>
      </c>
      <c r="K83" s="36"/>
      <c r="L83" s="31">
        <v>0</v>
      </c>
      <c r="M83" s="31">
        <f t="shared" si="1"/>
        <v>0</v>
      </c>
    </row>
    <row r="84" spans="1:13" ht="16">
      <c r="A84" s="35" t="s">
        <v>88</v>
      </c>
      <c r="B84" s="31" t="s">
        <v>50</v>
      </c>
      <c r="C84" s="35"/>
      <c r="D84" s="31">
        <v>0</v>
      </c>
      <c r="E84" s="36">
        <v>0</v>
      </c>
      <c r="F84" s="31" t="s">
        <v>204</v>
      </c>
      <c r="G84" s="36">
        <v>0</v>
      </c>
      <c r="H84" s="36">
        <v>1</v>
      </c>
      <c r="I84" s="31" t="e">
        <f t="shared" ca="1" si="0"/>
        <v>#NAME?</v>
      </c>
      <c r="K84" s="36"/>
      <c r="L84" s="31">
        <v>0</v>
      </c>
      <c r="M84" s="31">
        <f t="shared" si="1"/>
        <v>1</v>
      </c>
    </row>
    <row r="85" spans="1:13" ht="16">
      <c r="A85" s="35" t="s">
        <v>88</v>
      </c>
      <c r="B85" s="31" t="s">
        <v>50</v>
      </c>
      <c r="C85" s="35"/>
      <c r="D85" s="31">
        <v>0</v>
      </c>
      <c r="E85" s="36">
        <v>0</v>
      </c>
      <c r="F85" s="31" t="s">
        <v>208</v>
      </c>
      <c r="G85" s="36">
        <v>0</v>
      </c>
      <c r="H85" s="36">
        <v>1</v>
      </c>
      <c r="I85" s="31" t="e">
        <f t="shared" ca="1" si="0"/>
        <v>#NAME?</v>
      </c>
      <c r="K85" s="36"/>
      <c r="L85" s="31">
        <v>0</v>
      </c>
      <c r="M85" s="31">
        <f t="shared" si="1"/>
        <v>0</v>
      </c>
    </row>
    <row r="86" spans="1:13" ht="16">
      <c r="A86" s="35" t="s">
        <v>88</v>
      </c>
      <c r="B86" s="31" t="s">
        <v>50</v>
      </c>
      <c r="C86" s="35"/>
      <c r="D86" s="31">
        <v>0</v>
      </c>
      <c r="E86" s="36">
        <v>0</v>
      </c>
      <c r="F86" s="31" t="s">
        <v>209</v>
      </c>
      <c r="G86" s="36">
        <v>0</v>
      </c>
      <c r="H86" s="36">
        <v>1</v>
      </c>
      <c r="I86" s="31" t="e">
        <f t="shared" ca="1" si="0"/>
        <v>#NAME?</v>
      </c>
      <c r="K86" s="36"/>
      <c r="L86" s="31">
        <v>0</v>
      </c>
      <c r="M86" s="31">
        <f t="shared" si="1"/>
        <v>0</v>
      </c>
    </row>
    <row r="87" spans="1:13" ht="16">
      <c r="A87" s="35" t="s">
        <v>88</v>
      </c>
      <c r="B87" s="31" t="s">
        <v>50</v>
      </c>
      <c r="C87" s="35"/>
      <c r="D87" s="31">
        <v>0</v>
      </c>
      <c r="E87" s="36">
        <v>0</v>
      </c>
      <c r="F87" s="31" t="s">
        <v>211</v>
      </c>
      <c r="G87" s="36">
        <v>0</v>
      </c>
      <c r="H87" s="36">
        <v>1</v>
      </c>
      <c r="I87" s="31" t="e">
        <f t="shared" ca="1" si="0"/>
        <v>#NAME?</v>
      </c>
      <c r="K87" s="36"/>
      <c r="L87" s="31">
        <v>0</v>
      </c>
      <c r="M87" s="31">
        <f t="shared" si="1"/>
        <v>0</v>
      </c>
    </row>
    <row r="88" spans="1:13" ht="16">
      <c r="A88" s="35" t="s">
        <v>95</v>
      </c>
      <c r="B88" s="31" t="s">
        <v>50</v>
      </c>
      <c r="C88" s="35"/>
      <c r="D88" s="31">
        <v>0</v>
      </c>
      <c r="E88" s="36">
        <v>1</v>
      </c>
      <c r="F88" s="36" t="s">
        <v>96</v>
      </c>
      <c r="G88" s="36">
        <v>1</v>
      </c>
      <c r="H88" s="36">
        <v>1</v>
      </c>
      <c r="I88" s="31" t="e">
        <f t="shared" ca="1" si="0"/>
        <v>#NAME?</v>
      </c>
      <c r="K88" s="36"/>
      <c r="L88" s="31">
        <v>1</v>
      </c>
      <c r="M88" s="31">
        <f t="shared" si="1"/>
        <v>1</v>
      </c>
    </row>
    <row r="89" spans="1:13" ht="16">
      <c r="A89" s="36" t="s">
        <v>99</v>
      </c>
      <c r="B89" s="31" t="s">
        <v>50</v>
      </c>
      <c r="C89" s="35" t="s">
        <v>100</v>
      </c>
      <c r="D89" s="31">
        <v>0</v>
      </c>
      <c r="E89" s="36">
        <v>0</v>
      </c>
      <c r="F89" s="36" t="s">
        <v>107</v>
      </c>
      <c r="G89" s="36">
        <v>1</v>
      </c>
      <c r="H89" s="36">
        <v>0</v>
      </c>
      <c r="I89" s="31" t="e">
        <f t="shared" ca="1" si="0"/>
        <v>#NAME?</v>
      </c>
      <c r="K89" s="36"/>
      <c r="L89" s="31">
        <v>1</v>
      </c>
      <c r="M89" s="31">
        <f t="shared" si="1"/>
        <v>1</v>
      </c>
    </row>
    <row r="90" spans="1:13" ht="16">
      <c r="A90" s="35" t="s">
        <v>109</v>
      </c>
      <c r="B90" s="31" t="s">
        <v>50</v>
      </c>
      <c r="C90" s="35"/>
      <c r="D90" s="31">
        <v>0</v>
      </c>
      <c r="E90" s="36">
        <v>0</v>
      </c>
      <c r="F90" s="36" t="s">
        <v>107</v>
      </c>
      <c r="G90" s="36">
        <v>1</v>
      </c>
      <c r="H90" s="36">
        <v>0</v>
      </c>
      <c r="I90" s="31" t="e">
        <f t="shared" ca="1" si="0"/>
        <v>#NAME?</v>
      </c>
      <c r="K90" s="36"/>
      <c r="L90" s="31">
        <v>0</v>
      </c>
      <c r="M90" s="31">
        <f t="shared" si="1"/>
        <v>1</v>
      </c>
    </row>
    <row r="91" spans="1:13" ht="16">
      <c r="A91" s="35" t="s">
        <v>113</v>
      </c>
      <c r="B91" s="31" t="s">
        <v>50</v>
      </c>
      <c r="C91" s="35"/>
      <c r="D91" s="31">
        <v>0</v>
      </c>
      <c r="E91" s="36">
        <v>0</v>
      </c>
      <c r="F91" s="36" t="s">
        <v>115</v>
      </c>
      <c r="G91" s="36">
        <v>0</v>
      </c>
      <c r="H91" s="36">
        <v>0</v>
      </c>
      <c r="I91" s="31" t="e">
        <f t="shared" ca="1" si="0"/>
        <v>#NAME?</v>
      </c>
      <c r="K91" s="36"/>
      <c r="L91" s="31">
        <v>1</v>
      </c>
      <c r="M91" s="31">
        <f t="shared" si="1"/>
        <v>1</v>
      </c>
    </row>
    <row r="92" spans="1:13" ht="16">
      <c r="A92" s="35" t="s">
        <v>116</v>
      </c>
      <c r="B92" s="31" t="s">
        <v>50</v>
      </c>
      <c r="C92" s="35"/>
      <c r="D92" s="31">
        <v>0</v>
      </c>
      <c r="E92" s="36">
        <v>0</v>
      </c>
      <c r="F92" s="36" t="s">
        <v>117</v>
      </c>
      <c r="G92" s="36">
        <v>1</v>
      </c>
      <c r="H92" s="36">
        <v>0</v>
      </c>
      <c r="I92" s="31" t="e">
        <f t="shared" ca="1" si="0"/>
        <v>#NAME?</v>
      </c>
      <c r="K92" s="36"/>
      <c r="L92" s="31">
        <v>1</v>
      </c>
      <c r="M92" s="31">
        <f t="shared" si="1"/>
        <v>1</v>
      </c>
    </row>
    <row r="93" spans="1:13" ht="16">
      <c r="A93" s="35" t="s">
        <v>118</v>
      </c>
      <c r="B93" s="31" t="s">
        <v>50</v>
      </c>
      <c r="C93" s="36"/>
      <c r="D93" s="31">
        <v>0</v>
      </c>
      <c r="E93" s="36">
        <v>1</v>
      </c>
      <c r="F93" s="36" t="s">
        <v>119</v>
      </c>
      <c r="G93" s="36">
        <v>1</v>
      </c>
      <c r="H93" s="36">
        <v>0</v>
      </c>
      <c r="I93" s="31" t="e">
        <f t="shared" ca="1" si="0"/>
        <v>#NAME?</v>
      </c>
      <c r="K93" s="36" t="s">
        <v>122</v>
      </c>
      <c r="L93" s="31">
        <v>0</v>
      </c>
      <c r="M93" s="31">
        <f t="shared" si="1"/>
        <v>1</v>
      </c>
    </row>
    <row r="94" spans="1:13" ht="16">
      <c r="A94" s="35" t="s">
        <v>123</v>
      </c>
      <c r="B94" s="31" t="s">
        <v>50</v>
      </c>
      <c r="C94" s="36"/>
      <c r="D94" s="31">
        <v>0</v>
      </c>
      <c r="E94" s="36">
        <v>0</v>
      </c>
      <c r="F94" s="36" t="s">
        <v>1</v>
      </c>
      <c r="G94" s="36">
        <v>1</v>
      </c>
      <c r="H94" s="36">
        <v>1</v>
      </c>
      <c r="I94" s="31" t="e">
        <f t="shared" ca="1" si="0"/>
        <v>#NAME?</v>
      </c>
      <c r="K94" s="36"/>
      <c r="L94" s="31">
        <v>1</v>
      </c>
      <c r="M94" s="31">
        <f t="shared" si="1"/>
        <v>1</v>
      </c>
    </row>
    <row r="95" spans="1:13" ht="16">
      <c r="A95" s="35" t="s">
        <v>125</v>
      </c>
      <c r="B95" s="31" t="s">
        <v>50</v>
      </c>
      <c r="C95" s="35"/>
      <c r="D95" s="31">
        <v>0</v>
      </c>
      <c r="E95" s="36">
        <v>0</v>
      </c>
      <c r="F95" s="36" t="s">
        <v>107</v>
      </c>
      <c r="G95" s="36">
        <v>1</v>
      </c>
      <c r="H95" s="36">
        <v>0</v>
      </c>
      <c r="I95" s="31" t="e">
        <f t="shared" ca="1" si="0"/>
        <v>#NAME?</v>
      </c>
      <c r="K95" s="36"/>
      <c r="L95" s="31">
        <v>0</v>
      </c>
      <c r="M95" s="31">
        <f t="shared" si="1"/>
        <v>1</v>
      </c>
    </row>
    <row r="96" spans="1:13" ht="16">
      <c r="A96" s="35" t="s">
        <v>128</v>
      </c>
      <c r="B96" s="31" t="s">
        <v>50</v>
      </c>
      <c r="C96" s="35"/>
      <c r="D96" s="31">
        <v>0</v>
      </c>
      <c r="E96" s="36">
        <v>0</v>
      </c>
      <c r="F96" s="36" t="s">
        <v>130</v>
      </c>
      <c r="G96" s="36">
        <v>1</v>
      </c>
      <c r="H96" s="36">
        <v>1</v>
      </c>
      <c r="I96" s="31" t="e">
        <f t="shared" ca="1" si="0"/>
        <v>#NAME?</v>
      </c>
      <c r="K96" s="36"/>
      <c r="L96" s="31">
        <v>0</v>
      </c>
      <c r="M96" s="31">
        <f t="shared" si="1"/>
        <v>1</v>
      </c>
    </row>
    <row r="97" spans="1:13" ht="16">
      <c r="A97" s="35" t="s">
        <v>131</v>
      </c>
      <c r="B97" s="31" t="s">
        <v>50</v>
      </c>
      <c r="C97" s="35"/>
      <c r="D97" s="31">
        <v>0</v>
      </c>
      <c r="E97" s="36">
        <v>0</v>
      </c>
      <c r="F97" s="36" t="s">
        <v>132</v>
      </c>
      <c r="G97" s="36">
        <v>1</v>
      </c>
      <c r="H97" s="37">
        <v>0</v>
      </c>
      <c r="I97" s="31" t="e">
        <f t="shared" ca="1" si="0"/>
        <v>#NAME?</v>
      </c>
      <c r="K97" s="36"/>
      <c r="L97" s="31">
        <v>1</v>
      </c>
      <c r="M97" s="31">
        <f t="shared" si="1"/>
        <v>1</v>
      </c>
    </row>
    <row r="98" spans="1:13" ht="16">
      <c r="A98" s="35" t="s">
        <v>133</v>
      </c>
      <c r="B98" s="31" t="s">
        <v>50</v>
      </c>
      <c r="C98" s="35"/>
      <c r="D98" s="31">
        <v>0</v>
      </c>
      <c r="E98" s="36">
        <v>0</v>
      </c>
      <c r="F98" s="36" t="s">
        <v>134</v>
      </c>
      <c r="G98" s="37">
        <v>1</v>
      </c>
      <c r="H98" s="37">
        <v>0</v>
      </c>
      <c r="I98" s="31" t="e">
        <f t="shared" ca="1" si="0"/>
        <v>#NAME?</v>
      </c>
      <c r="K98" s="36"/>
      <c r="L98" s="31">
        <v>0</v>
      </c>
      <c r="M98" s="31">
        <f t="shared" si="1"/>
        <v>1</v>
      </c>
    </row>
    <row r="99" spans="1:13" ht="16">
      <c r="A99" s="35" t="s">
        <v>135</v>
      </c>
      <c r="B99" s="31" t="s">
        <v>50</v>
      </c>
      <c r="C99" s="35"/>
      <c r="D99" s="31">
        <v>0</v>
      </c>
      <c r="E99" s="36">
        <v>0</v>
      </c>
      <c r="F99" s="36" t="s">
        <v>136</v>
      </c>
      <c r="G99" s="36">
        <v>1</v>
      </c>
      <c r="H99" s="37">
        <v>0</v>
      </c>
      <c r="I99" s="31" t="e">
        <f t="shared" ca="1" si="0"/>
        <v>#NAME?</v>
      </c>
      <c r="K99" s="36"/>
      <c r="L99" s="31">
        <v>0</v>
      </c>
      <c r="M99" s="31">
        <f t="shared" si="1"/>
        <v>1</v>
      </c>
    </row>
    <row r="100" spans="1:13" ht="16">
      <c r="A100" s="35" t="s">
        <v>137</v>
      </c>
      <c r="B100" s="31" t="s">
        <v>50</v>
      </c>
      <c r="C100" s="36"/>
      <c r="D100" s="31">
        <v>0</v>
      </c>
      <c r="E100" s="36">
        <v>0</v>
      </c>
      <c r="F100" s="36" t="s">
        <v>107</v>
      </c>
      <c r="G100" s="36">
        <v>1</v>
      </c>
      <c r="H100" s="37">
        <v>0</v>
      </c>
      <c r="I100" s="31" t="e">
        <f t="shared" ca="1" si="0"/>
        <v>#NAME?</v>
      </c>
      <c r="K100" s="36"/>
      <c r="L100" s="31">
        <v>0</v>
      </c>
      <c r="M100" s="31">
        <f t="shared" si="1"/>
        <v>1</v>
      </c>
    </row>
    <row r="101" spans="1:13" ht="16">
      <c r="A101" s="35" t="s">
        <v>138</v>
      </c>
      <c r="B101" s="31" t="s">
        <v>50</v>
      </c>
      <c r="C101" s="36"/>
      <c r="D101" s="31">
        <v>0</v>
      </c>
      <c r="E101" s="36">
        <v>0</v>
      </c>
      <c r="F101" s="36" t="s">
        <v>139</v>
      </c>
      <c r="G101" s="37">
        <v>1</v>
      </c>
      <c r="H101" s="37">
        <v>0</v>
      </c>
      <c r="I101" s="31" t="e">
        <f t="shared" ca="1" si="0"/>
        <v>#NAME?</v>
      </c>
      <c r="K101" s="36"/>
      <c r="L101" s="31">
        <v>0</v>
      </c>
      <c r="M101" s="31">
        <f t="shared" si="1"/>
        <v>1</v>
      </c>
    </row>
    <row r="102" spans="1:13" ht="16">
      <c r="A102" s="35" t="s">
        <v>140</v>
      </c>
      <c r="B102" s="31" t="s">
        <v>50</v>
      </c>
      <c r="C102" s="35"/>
      <c r="D102" s="31">
        <v>0</v>
      </c>
      <c r="E102" s="36">
        <v>0</v>
      </c>
      <c r="F102" s="36" t="s">
        <v>142</v>
      </c>
      <c r="G102" s="37">
        <v>1</v>
      </c>
      <c r="H102" s="37">
        <v>0</v>
      </c>
      <c r="I102" s="31" t="e">
        <f t="shared" ca="1" si="0"/>
        <v>#NAME?</v>
      </c>
      <c r="K102" s="36"/>
      <c r="L102" s="31">
        <v>1</v>
      </c>
      <c r="M102" s="31">
        <f t="shared" si="1"/>
        <v>1</v>
      </c>
    </row>
    <row r="103" spans="1:13" ht="16">
      <c r="A103" s="35" t="s">
        <v>143</v>
      </c>
      <c r="B103" s="31" t="s">
        <v>50</v>
      </c>
      <c r="C103" s="36"/>
      <c r="D103" s="31">
        <v>0</v>
      </c>
      <c r="E103" s="36">
        <v>0</v>
      </c>
      <c r="F103" s="36" t="s">
        <v>144</v>
      </c>
      <c r="G103" s="36">
        <v>1</v>
      </c>
      <c r="H103" s="36">
        <v>0</v>
      </c>
      <c r="I103" s="31" t="e">
        <f t="shared" ca="1" si="0"/>
        <v>#NAME?</v>
      </c>
      <c r="K103" s="36"/>
      <c r="L103" s="31">
        <v>0</v>
      </c>
      <c r="M103" s="31">
        <f t="shared" si="1"/>
        <v>1</v>
      </c>
    </row>
    <row r="104" spans="1:13" ht="16">
      <c r="A104" s="35" t="s">
        <v>145</v>
      </c>
      <c r="B104" s="31" t="s">
        <v>50</v>
      </c>
      <c r="C104" s="35"/>
      <c r="D104" s="31">
        <v>0</v>
      </c>
      <c r="E104" s="36">
        <v>0</v>
      </c>
      <c r="F104" s="36" t="s">
        <v>1</v>
      </c>
      <c r="G104" s="36">
        <v>1</v>
      </c>
      <c r="H104" s="36">
        <v>1</v>
      </c>
      <c r="I104" s="31" t="e">
        <f t="shared" ca="1" si="0"/>
        <v>#NAME?</v>
      </c>
      <c r="K104" s="36"/>
      <c r="L104" s="31">
        <v>1</v>
      </c>
      <c r="M104" s="31">
        <f t="shared" si="1"/>
        <v>1</v>
      </c>
    </row>
    <row r="105" spans="1:13" ht="16">
      <c r="A105" s="35" t="s">
        <v>146</v>
      </c>
      <c r="B105" s="31" t="s">
        <v>50</v>
      </c>
      <c r="C105" s="35"/>
      <c r="D105" s="31">
        <v>0</v>
      </c>
      <c r="E105" s="36">
        <v>0</v>
      </c>
      <c r="F105" s="36" t="s">
        <v>24</v>
      </c>
      <c r="G105" s="36">
        <v>1</v>
      </c>
      <c r="H105" s="36">
        <v>1</v>
      </c>
      <c r="I105" s="31" t="e">
        <f t="shared" ca="1" si="0"/>
        <v>#NAME?</v>
      </c>
      <c r="K105" s="36"/>
      <c r="L105" s="31">
        <v>1</v>
      </c>
      <c r="M105" s="31">
        <f t="shared" si="1"/>
        <v>1</v>
      </c>
    </row>
    <row r="106" spans="1:13" ht="16">
      <c r="A106" s="35" t="s">
        <v>147</v>
      </c>
      <c r="B106" s="31" t="s">
        <v>50</v>
      </c>
      <c r="C106" s="36"/>
      <c r="D106" s="31">
        <v>0</v>
      </c>
      <c r="E106" s="36">
        <v>0</v>
      </c>
      <c r="F106" s="36" t="s">
        <v>303</v>
      </c>
      <c r="G106" s="36">
        <v>1</v>
      </c>
      <c r="H106" s="36">
        <v>1</v>
      </c>
      <c r="I106" s="31" t="e">
        <f t="shared" ca="1" si="0"/>
        <v>#NAME?</v>
      </c>
      <c r="K106" s="36"/>
      <c r="L106" s="31">
        <v>1</v>
      </c>
      <c r="M106" s="31">
        <f t="shared" si="1"/>
        <v>1</v>
      </c>
    </row>
    <row r="107" spans="1:13" ht="16">
      <c r="A107" s="35" t="s">
        <v>151</v>
      </c>
      <c r="B107" s="31" t="s">
        <v>50</v>
      </c>
      <c r="C107" s="36"/>
      <c r="D107" s="31">
        <v>0</v>
      </c>
      <c r="E107" s="36">
        <v>0</v>
      </c>
      <c r="F107" s="36" t="s">
        <v>154</v>
      </c>
      <c r="G107" s="36">
        <v>1</v>
      </c>
      <c r="H107" s="36">
        <v>0</v>
      </c>
      <c r="I107" s="31" t="e">
        <f t="shared" ca="1" si="0"/>
        <v>#NAME?</v>
      </c>
      <c r="K107" s="36"/>
      <c r="L107" s="31">
        <v>1</v>
      </c>
      <c r="M107" s="31">
        <f t="shared" si="1"/>
        <v>1</v>
      </c>
    </row>
    <row r="108" spans="1:13" ht="16">
      <c r="A108" s="35" t="s">
        <v>155</v>
      </c>
      <c r="B108" s="31" t="s">
        <v>50</v>
      </c>
      <c r="C108" s="36"/>
      <c r="D108" s="31">
        <v>0</v>
      </c>
      <c r="E108" s="36">
        <v>0</v>
      </c>
      <c r="F108" s="36" t="s">
        <v>25</v>
      </c>
      <c r="G108" s="36">
        <v>1</v>
      </c>
      <c r="H108" s="36">
        <v>0</v>
      </c>
      <c r="I108" s="31" t="e">
        <f t="shared" ca="1" si="0"/>
        <v>#NAME?</v>
      </c>
      <c r="K108" s="36"/>
      <c r="L108" s="31">
        <v>0</v>
      </c>
      <c r="M108" s="31">
        <f t="shared" si="1"/>
        <v>1</v>
      </c>
    </row>
    <row r="109" spans="1:13" ht="16">
      <c r="A109" s="35" t="s">
        <v>157</v>
      </c>
      <c r="B109" s="31" t="s">
        <v>50</v>
      </c>
      <c r="C109" s="35"/>
      <c r="D109" s="31">
        <v>0</v>
      </c>
      <c r="E109" s="36">
        <v>0</v>
      </c>
      <c r="F109" s="36" t="s">
        <v>322</v>
      </c>
      <c r="G109" s="37">
        <v>0</v>
      </c>
      <c r="H109" s="37">
        <v>0</v>
      </c>
      <c r="I109" s="31" t="e">
        <f t="shared" ca="1" si="0"/>
        <v>#NAME?</v>
      </c>
      <c r="K109" s="36"/>
      <c r="L109" s="31">
        <v>0</v>
      </c>
      <c r="M109" s="31">
        <f t="shared" si="1"/>
        <v>1</v>
      </c>
    </row>
    <row r="110" spans="1:13" ht="16">
      <c r="A110" s="35" t="s">
        <v>157</v>
      </c>
      <c r="B110" s="31" t="s">
        <v>50</v>
      </c>
      <c r="C110" s="35"/>
      <c r="D110" s="31">
        <v>0</v>
      </c>
      <c r="E110" s="36">
        <v>0</v>
      </c>
      <c r="F110" s="36" t="s">
        <v>149</v>
      </c>
      <c r="G110" s="37">
        <v>1</v>
      </c>
      <c r="H110" s="37">
        <v>0</v>
      </c>
      <c r="I110" s="31" t="e">
        <f t="shared" ca="1" si="0"/>
        <v>#NAME?</v>
      </c>
      <c r="J110" s="33" t="s">
        <v>325</v>
      </c>
      <c r="K110" s="36" t="s">
        <v>326</v>
      </c>
      <c r="L110" s="31">
        <v>0</v>
      </c>
      <c r="M110" s="31">
        <f t="shared" si="1"/>
        <v>0</v>
      </c>
    </row>
    <row r="111" spans="1:13" ht="16">
      <c r="A111" s="35" t="s">
        <v>162</v>
      </c>
      <c r="B111" s="31" t="s">
        <v>50</v>
      </c>
      <c r="C111" s="35"/>
      <c r="D111" s="31">
        <v>0</v>
      </c>
      <c r="E111" s="36">
        <v>1</v>
      </c>
      <c r="F111" s="36" t="s">
        <v>164</v>
      </c>
      <c r="G111" s="36">
        <v>1</v>
      </c>
      <c r="H111" s="36">
        <v>0</v>
      </c>
      <c r="I111" s="31" t="e">
        <f t="shared" ca="1" si="0"/>
        <v>#NAME?</v>
      </c>
      <c r="K111" s="36"/>
      <c r="L111" s="31">
        <v>0</v>
      </c>
      <c r="M111" s="31">
        <f t="shared" si="1"/>
        <v>1</v>
      </c>
    </row>
    <row r="112" spans="1:13" ht="16">
      <c r="A112" s="35" t="s">
        <v>167</v>
      </c>
      <c r="B112" s="31" t="s">
        <v>50</v>
      </c>
      <c r="C112" s="36"/>
      <c r="D112" s="31">
        <v>0</v>
      </c>
      <c r="E112" s="36">
        <v>0</v>
      </c>
      <c r="F112" s="36" t="s">
        <v>1</v>
      </c>
      <c r="G112" s="36">
        <v>1</v>
      </c>
      <c r="H112" s="36">
        <v>1</v>
      </c>
      <c r="I112" s="31" t="e">
        <f t="shared" ca="1" si="0"/>
        <v>#NAME?</v>
      </c>
      <c r="K112" s="36"/>
      <c r="L112" s="31">
        <v>0</v>
      </c>
      <c r="M112" s="31">
        <f t="shared" si="1"/>
        <v>1</v>
      </c>
    </row>
    <row r="113" spans="1:13" ht="16">
      <c r="A113" s="35" t="s">
        <v>167</v>
      </c>
      <c r="B113" s="31" t="s">
        <v>50</v>
      </c>
      <c r="C113" s="36"/>
      <c r="D113" s="31">
        <v>0</v>
      </c>
      <c r="E113" s="36">
        <v>0</v>
      </c>
      <c r="F113" s="36" t="s">
        <v>331</v>
      </c>
      <c r="G113" s="36">
        <v>1</v>
      </c>
      <c r="H113" s="36">
        <v>0</v>
      </c>
      <c r="I113" s="31" t="e">
        <f t="shared" ca="1" si="0"/>
        <v>#NAME?</v>
      </c>
      <c r="K113" s="36"/>
      <c r="L113" s="31">
        <v>0</v>
      </c>
      <c r="M113" s="31">
        <f t="shared" si="1"/>
        <v>0</v>
      </c>
    </row>
    <row r="114" spans="1:13" ht="16">
      <c r="A114" s="35" t="s">
        <v>170</v>
      </c>
      <c r="B114" s="31" t="s">
        <v>50</v>
      </c>
      <c r="C114" s="35"/>
      <c r="D114" s="31">
        <v>0</v>
      </c>
      <c r="E114" s="36">
        <v>0</v>
      </c>
      <c r="F114" s="36" t="s">
        <v>171</v>
      </c>
      <c r="G114" s="36">
        <v>0</v>
      </c>
      <c r="H114" s="36">
        <v>1</v>
      </c>
      <c r="I114" s="31" t="e">
        <f t="shared" ca="1" si="0"/>
        <v>#NAME?</v>
      </c>
      <c r="K114" s="36"/>
      <c r="L114" s="31">
        <v>0</v>
      </c>
      <c r="M114" s="31">
        <f t="shared" si="1"/>
        <v>1</v>
      </c>
    </row>
    <row r="115" spans="1:13" ht="16">
      <c r="A115" s="35" t="s">
        <v>172</v>
      </c>
      <c r="B115" s="31" t="s">
        <v>50</v>
      </c>
      <c r="C115" s="35"/>
      <c r="D115" s="31">
        <v>0</v>
      </c>
      <c r="E115" s="36">
        <v>1</v>
      </c>
      <c r="F115" s="36" t="s">
        <v>335</v>
      </c>
      <c r="G115" s="36">
        <v>1</v>
      </c>
      <c r="H115" s="36">
        <v>0</v>
      </c>
      <c r="I115" s="31" t="e">
        <f t="shared" ca="1" si="0"/>
        <v>#NAME?</v>
      </c>
      <c r="K115" s="36"/>
      <c r="L115" s="31">
        <v>0</v>
      </c>
      <c r="M115" s="31">
        <f t="shared" si="1"/>
        <v>1</v>
      </c>
    </row>
    <row r="116" spans="1:13" ht="16">
      <c r="A116" s="35" t="s">
        <v>172</v>
      </c>
      <c r="B116" s="31" t="s">
        <v>50</v>
      </c>
      <c r="C116" s="35"/>
      <c r="D116" s="31">
        <v>0</v>
      </c>
      <c r="E116" s="36">
        <v>1</v>
      </c>
      <c r="F116" s="36" t="s">
        <v>335</v>
      </c>
      <c r="G116" s="36">
        <v>1</v>
      </c>
      <c r="H116" s="36">
        <v>0</v>
      </c>
      <c r="I116" s="31" t="e">
        <f t="shared" ca="1" si="0"/>
        <v>#NAME?</v>
      </c>
      <c r="K116" s="36"/>
      <c r="L116" s="31">
        <v>0</v>
      </c>
      <c r="M116" s="31">
        <f t="shared" si="1"/>
        <v>0</v>
      </c>
    </row>
    <row r="117" spans="1:13" ht="16">
      <c r="A117" s="35" t="s">
        <v>172</v>
      </c>
      <c r="B117" s="31" t="s">
        <v>50</v>
      </c>
      <c r="C117" s="35"/>
      <c r="D117" s="31">
        <v>0</v>
      </c>
      <c r="E117" s="36">
        <v>1</v>
      </c>
      <c r="F117" s="36" t="s">
        <v>1</v>
      </c>
      <c r="G117" s="36">
        <v>1</v>
      </c>
      <c r="H117" s="36">
        <v>1</v>
      </c>
      <c r="I117" s="31" t="e">
        <f t="shared" ca="1" si="0"/>
        <v>#NAME?</v>
      </c>
      <c r="K117" s="36"/>
      <c r="L117" s="31">
        <v>0</v>
      </c>
      <c r="M117" s="31">
        <f t="shared" si="1"/>
        <v>0</v>
      </c>
    </row>
    <row r="118" spans="1:13" ht="16">
      <c r="A118" s="35" t="s">
        <v>176</v>
      </c>
      <c r="B118" s="31" t="s">
        <v>50</v>
      </c>
      <c r="C118" s="35"/>
      <c r="D118" s="31">
        <v>0</v>
      </c>
      <c r="E118" s="36">
        <v>1</v>
      </c>
      <c r="F118" s="36" t="s">
        <v>178</v>
      </c>
      <c r="G118" s="36">
        <v>0</v>
      </c>
      <c r="H118" s="36">
        <v>1</v>
      </c>
      <c r="I118" s="31" t="e">
        <f t="shared" ca="1" si="0"/>
        <v>#NAME?</v>
      </c>
      <c r="K118" s="36"/>
      <c r="L118" s="31">
        <v>0</v>
      </c>
      <c r="M118" s="31">
        <f t="shared" si="1"/>
        <v>1</v>
      </c>
    </row>
    <row r="119" spans="1:13" ht="16">
      <c r="A119" s="35" t="s">
        <v>180</v>
      </c>
      <c r="B119" s="31" t="s">
        <v>50</v>
      </c>
      <c r="C119" s="36"/>
      <c r="D119" s="31">
        <v>0</v>
      </c>
      <c r="E119" s="36">
        <v>0</v>
      </c>
      <c r="F119" s="36" t="s">
        <v>1</v>
      </c>
      <c r="G119" s="36">
        <v>1</v>
      </c>
      <c r="H119" s="36">
        <v>1</v>
      </c>
      <c r="I119" s="31" t="e">
        <f t="shared" ca="1" si="0"/>
        <v>#NAME?</v>
      </c>
      <c r="K119" s="36"/>
      <c r="L119" s="31">
        <v>0</v>
      </c>
      <c r="M119" s="31">
        <f t="shared" si="1"/>
        <v>1</v>
      </c>
    </row>
    <row r="120" spans="1:13" ht="16">
      <c r="A120" s="35" t="s">
        <v>182</v>
      </c>
      <c r="B120" s="31" t="s">
        <v>50</v>
      </c>
      <c r="C120" s="35"/>
      <c r="D120" s="31">
        <v>0</v>
      </c>
      <c r="E120" s="36">
        <v>0</v>
      </c>
      <c r="F120" s="36" t="s">
        <v>184</v>
      </c>
      <c r="G120" s="36">
        <v>1</v>
      </c>
      <c r="H120" s="36">
        <v>0</v>
      </c>
      <c r="I120" s="31" t="e">
        <f t="shared" ca="1" si="0"/>
        <v>#NAME?</v>
      </c>
      <c r="K120" s="36"/>
      <c r="L120" s="31">
        <v>0</v>
      </c>
      <c r="M120" s="31">
        <f t="shared" si="1"/>
        <v>1</v>
      </c>
    </row>
    <row r="121" spans="1:13" ht="16">
      <c r="A121" s="35" t="s">
        <v>185</v>
      </c>
      <c r="B121" s="31" t="s">
        <v>50</v>
      </c>
      <c r="C121" s="35"/>
      <c r="D121" s="31">
        <v>0</v>
      </c>
      <c r="E121" s="36">
        <v>1</v>
      </c>
      <c r="F121" s="36" t="s">
        <v>186</v>
      </c>
      <c r="G121" s="36">
        <v>0</v>
      </c>
      <c r="H121" s="36">
        <v>0</v>
      </c>
      <c r="I121" s="31" t="e">
        <f t="shared" ca="1" si="0"/>
        <v>#NAME?</v>
      </c>
      <c r="K121" s="36"/>
      <c r="L121" s="31">
        <v>0</v>
      </c>
      <c r="M121" s="31">
        <f t="shared" si="1"/>
        <v>1</v>
      </c>
    </row>
    <row r="122" spans="1:13" ht="16">
      <c r="A122" s="35" t="s">
        <v>189</v>
      </c>
      <c r="B122" s="31" t="s">
        <v>50</v>
      </c>
      <c r="C122" s="36"/>
      <c r="D122" s="31">
        <v>0</v>
      </c>
      <c r="E122" s="36">
        <v>1</v>
      </c>
      <c r="F122" s="36" t="s">
        <v>1</v>
      </c>
      <c r="G122" s="36">
        <v>1</v>
      </c>
      <c r="H122" s="36">
        <v>1</v>
      </c>
      <c r="I122" s="31" t="e">
        <f t="shared" ca="1" si="0"/>
        <v>#NAME?</v>
      </c>
      <c r="J122" s="34"/>
      <c r="K122" s="36"/>
      <c r="L122" s="31">
        <v>0</v>
      </c>
      <c r="M122" s="31">
        <f t="shared" si="1"/>
        <v>1</v>
      </c>
    </row>
    <row r="123" spans="1:13" ht="14">
      <c r="A123" s="40" t="s">
        <v>194</v>
      </c>
      <c r="B123" s="31" t="s">
        <v>50</v>
      </c>
      <c r="D123" s="31">
        <v>0</v>
      </c>
      <c r="E123" s="31">
        <v>0</v>
      </c>
      <c r="F123" s="31" t="s">
        <v>197</v>
      </c>
      <c r="G123" s="31">
        <v>1</v>
      </c>
      <c r="H123" s="31">
        <v>0</v>
      </c>
      <c r="I123" s="31" t="e">
        <f t="shared" ca="1" si="0"/>
        <v>#NAME?</v>
      </c>
      <c r="L123" s="31">
        <v>0</v>
      </c>
      <c r="M123" s="31">
        <f t="shared" si="1"/>
        <v>1</v>
      </c>
    </row>
    <row r="124" spans="1:13" ht="14">
      <c r="A124" s="40" t="s">
        <v>198</v>
      </c>
      <c r="B124" s="31" t="s">
        <v>50</v>
      </c>
      <c r="D124" s="31">
        <v>0</v>
      </c>
      <c r="E124" s="31">
        <v>1</v>
      </c>
      <c r="F124" s="31" t="s">
        <v>199</v>
      </c>
      <c r="G124" s="31">
        <v>1</v>
      </c>
      <c r="H124" s="31">
        <v>0</v>
      </c>
      <c r="I124" s="31" t="e">
        <f t="shared" ca="1" si="0"/>
        <v>#NAME?</v>
      </c>
      <c r="L124" s="31">
        <v>0</v>
      </c>
      <c r="M124" s="31">
        <f t="shared" si="1"/>
        <v>1</v>
      </c>
    </row>
    <row r="125" spans="1:13" ht="14">
      <c r="A125" s="40" t="s">
        <v>202</v>
      </c>
      <c r="B125" s="31" t="s">
        <v>50</v>
      </c>
      <c r="D125" s="31">
        <v>0</v>
      </c>
      <c r="E125" s="31">
        <v>0</v>
      </c>
      <c r="F125" s="31" t="s">
        <v>26</v>
      </c>
      <c r="G125" s="31">
        <v>1</v>
      </c>
      <c r="H125" s="31">
        <v>1</v>
      </c>
      <c r="I125" s="31" t="e">
        <f t="shared" ca="1" si="0"/>
        <v>#NAME?</v>
      </c>
      <c r="L125" s="31">
        <v>1</v>
      </c>
      <c r="M125" s="31">
        <f t="shared" si="1"/>
        <v>1</v>
      </c>
    </row>
    <row r="126" spans="1:13" ht="14">
      <c r="A126" s="40" t="s">
        <v>203</v>
      </c>
      <c r="B126" s="31" t="s">
        <v>50</v>
      </c>
      <c r="D126" s="31">
        <v>0</v>
      </c>
      <c r="E126" s="31">
        <v>0</v>
      </c>
      <c r="F126" s="31" t="s">
        <v>205</v>
      </c>
      <c r="G126" s="31">
        <v>1</v>
      </c>
      <c r="H126" s="31">
        <v>1</v>
      </c>
      <c r="I126" s="31" t="e">
        <f t="shared" ca="1" si="0"/>
        <v>#NAME?</v>
      </c>
      <c r="L126" s="31">
        <v>1</v>
      </c>
      <c r="M126" s="31">
        <f t="shared" si="1"/>
        <v>1</v>
      </c>
    </row>
    <row r="127" spans="1:13" ht="14">
      <c r="A127" s="40" t="s">
        <v>207</v>
      </c>
      <c r="B127" s="31" t="s">
        <v>50</v>
      </c>
      <c r="D127" s="31">
        <v>0</v>
      </c>
      <c r="E127" s="31">
        <v>0</v>
      </c>
      <c r="F127" s="31" t="s">
        <v>201</v>
      </c>
      <c r="G127" s="31">
        <v>1</v>
      </c>
      <c r="H127" s="31">
        <v>1</v>
      </c>
      <c r="I127" s="31" t="e">
        <f t="shared" ca="1" si="0"/>
        <v>#NAME?</v>
      </c>
      <c r="L127" s="31">
        <v>1</v>
      </c>
      <c r="M127" s="31">
        <f t="shared" si="1"/>
        <v>1</v>
      </c>
    </row>
    <row r="128" spans="1:13" ht="14">
      <c r="A128" s="40" t="s">
        <v>210</v>
      </c>
      <c r="B128" s="31" t="s">
        <v>50</v>
      </c>
      <c r="D128" s="31">
        <v>0</v>
      </c>
      <c r="E128" s="31">
        <v>0</v>
      </c>
      <c r="F128" s="31" t="s">
        <v>212</v>
      </c>
      <c r="G128" s="31">
        <v>1</v>
      </c>
      <c r="H128" s="31">
        <v>0</v>
      </c>
      <c r="I128" s="31" t="e">
        <f t="shared" ca="1" si="0"/>
        <v>#NAME?</v>
      </c>
      <c r="L128" s="31">
        <v>1</v>
      </c>
      <c r="M128" s="31">
        <f t="shared" si="1"/>
        <v>1</v>
      </c>
    </row>
    <row r="129" spans="1:13" ht="14">
      <c r="A129" s="40" t="s">
        <v>213</v>
      </c>
      <c r="B129" s="31" t="s">
        <v>50</v>
      </c>
      <c r="D129" s="31">
        <v>0</v>
      </c>
      <c r="E129" s="31">
        <v>0</v>
      </c>
      <c r="F129" s="31" t="s">
        <v>214</v>
      </c>
      <c r="G129" s="31">
        <v>1</v>
      </c>
      <c r="H129" s="31">
        <v>1</v>
      </c>
      <c r="I129" s="31" t="e">
        <f t="shared" ca="1" si="0"/>
        <v>#NAME?</v>
      </c>
      <c r="L129" s="31">
        <v>0</v>
      </c>
      <c r="M129" s="31">
        <f t="shared" si="1"/>
        <v>1</v>
      </c>
    </row>
    <row r="130" spans="1:13" ht="14">
      <c r="A130" s="40" t="s">
        <v>215</v>
      </c>
      <c r="B130" s="31" t="s">
        <v>50</v>
      </c>
      <c r="D130" s="31">
        <v>0</v>
      </c>
      <c r="E130" s="31">
        <v>0</v>
      </c>
      <c r="F130" s="31" t="s">
        <v>195</v>
      </c>
      <c r="G130" s="31">
        <v>0</v>
      </c>
      <c r="H130" s="31">
        <v>1</v>
      </c>
      <c r="I130" s="31" t="e">
        <f t="shared" ca="1" si="0"/>
        <v>#NAME?</v>
      </c>
      <c r="L130" s="31">
        <v>0</v>
      </c>
      <c r="M130" s="31">
        <f t="shared" si="1"/>
        <v>1</v>
      </c>
    </row>
    <row r="131" spans="1:13" ht="14">
      <c r="A131" s="40" t="s">
        <v>215</v>
      </c>
      <c r="B131" s="31" t="s">
        <v>50</v>
      </c>
      <c r="D131" s="31">
        <v>0</v>
      </c>
      <c r="E131" s="31">
        <v>0</v>
      </c>
      <c r="F131" s="31" t="s">
        <v>579</v>
      </c>
      <c r="G131" s="31">
        <v>0</v>
      </c>
      <c r="H131" s="31">
        <v>1</v>
      </c>
      <c r="I131" s="31" t="e">
        <f t="shared" ca="1" si="0"/>
        <v>#NAME?</v>
      </c>
      <c r="L131" s="31">
        <v>0</v>
      </c>
      <c r="M131" s="31">
        <f t="shared" si="1"/>
        <v>0</v>
      </c>
    </row>
    <row r="132" spans="1:13" ht="14">
      <c r="A132" s="40" t="s">
        <v>215</v>
      </c>
      <c r="B132" s="31" t="s">
        <v>50</v>
      </c>
      <c r="D132" s="31">
        <v>0</v>
      </c>
      <c r="E132" s="31">
        <v>0</v>
      </c>
      <c r="F132" s="31" t="s">
        <v>355</v>
      </c>
      <c r="G132" s="31">
        <v>0</v>
      </c>
      <c r="H132" s="31">
        <v>0</v>
      </c>
      <c r="I132" s="31" t="e">
        <f t="shared" ca="1" si="0"/>
        <v>#NAME?</v>
      </c>
      <c r="L132" s="31">
        <v>0</v>
      </c>
      <c r="M132" s="31">
        <f t="shared" si="1"/>
        <v>0</v>
      </c>
    </row>
    <row r="133" spans="1:13" ht="14">
      <c r="A133" s="40" t="s">
        <v>217</v>
      </c>
      <c r="B133" s="31" t="s">
        <v>50</v>
      </c>
      <c r="D133" s="31">
        <v>0</v>
      </c>
      <c r="E133" s="31">
        <v>0</v>
      </c>
      <c r="F133" s="31" t="s">
        <v>201</v>
      </c>
      <c r="G133" s="31">
        <v>1</v>
      </c>
      <c r="H133" s="31">
        <v>1</v>
      </c>
      <c r="I133" s="31" t="e">
        <f t="shared" ca="1" si="0"/>
        <v>#NAME?</v>
      </c>
      <c r="L133" s="31">
        <v>0</v>
      </c>
      <c r="M133" s="31">
        <f t="shared" si="1"/>
        <v>1</v>
      </c>
    </row>
    <row r="134" spans="1:13" ht="14">
      <c r="A134" s="40" t="s">
        <v>218</v>
      </c>
      <c r="B134" s="31" t="s">
        <v>50</v>
      </c>
      <c r="D134" s="31">
        <v>0</v>
      </c>
      <c r="E134" s="31">
        <v>0</v>
      </c>
      <c r="F134" s="31" t="s">
        <v>219</v>
      </c>
      <c r="G134" s="31">
        <v>0</v>
      </c>
      <c r="H134" s="31">
        <v>1</v>
      </c>
      <c r="I134" s="31" t="e">
        <f t="shared" ca="1" si="0"/>
        <v>#NAME?</v>
      </c>
      <c r="L134" s="31">
        <v>0</v>
      </c>
      <c r="M134" s="31">
        <f t="shared" si="1"/>
        <v>1</v>
      </c>
    </row>
    <row r="135" spans="1:13" ht="14">
      <c r="A135" s="40" t="s">
        <v>220</v>
      </c>
      <c r="B135" s="31" t="s">
        <v>50</v>
      </c>
      <c r="D135" s="31">
        <v>0</v>
      </c>
      <c r="E135" s="31">
        <v>0</v>
      </c>
      <c r="F135" s="31" t="s">
        <v>221</v>
      </c>
      <c r="G135" s="31">
        <v>1</v>
      </c>
      <c r="H135" s="31">
        <v>0</v>
      </c>
      <c r="I135" s="31" t="e">
        <f t="shared" ca="1" si="0"/>
        <v>#NAME?</v>
      </c>
      <c r="L135" s="31">
        <v>0</v>
      </c>
      <c r="M135" s="31">
        <f t="shared" si="1"/>
        <v>1</v>
      </c>
    </row>
    <row r="136" spans="1:13" ht="14">
      <c r="A136" s="40" t="s">
        <v>222</v>
      </c>
      <c r="B136" s="31" t="s">
        <v>50</v>
      </c>
      <c r="D136" s="31">
        <v>0</v>
      </c>
      <c r="E136" s="31">
        <v>0</v>
      </c>
      <c r="F136" s="31" t="s">
        <v>221</v>
      </c>
      <c r="G136" s="31">
        <v>1</v>
      </c>
      <c r="H136" s="31">
        <v>0</v>
      </c>
      <c r="I136" s="31" t="e">
        <f t="shared" ca="1" si="0"/>
        <v>#NAME?</v>
      </c>
      <c r="L136" s="31">
        <v>0</v>
      </c>
      <c r="M136" s="31">
        <f t="shared" si="1"/>
        <v>1</v>
      </c>
    </row>
    <row r="137" spans="1:13" ht="14">
      <c r="A137" s="40" t="s">
        <v>223</v>
      </c>
      <c r="B137" s="31" t="s">
        <v>50</v>
      </c>
      <c r="D137" s="31">
        <v>0</v>
      </c>
      <c r="E137" s="31">
        <v>0</v>
      </c>
      <c r="F137" s="31" t="s">
        <v>224</v>
      </c>
      <c r="G137" s="31">
        <v>0</v>
      </c>
      <c r="H137" s="31">
        <v>1</v>
      </c>
      <c r="I137" s="31" t="e">
        <f t="shared" ca="1" si="0"/>
        <v>#NAME?</v>
      </c>
      <c r="L137" s="31">
        <v>0</v>
      </c>
      <c r="M137" s="31">
        <f t="shared" si="1"/>
        <v>1</v>
      </c>
    </row>
    <row r="138" spans="1:13" ht="14">
      <c r="A138" s="40" t="s">
        <v>226</v>
      </c>
      <c r="B138" s="31" t="s">
        <v>50</v>
      </c>
      <c r="D138" s="31">
        <v>0</v>
      </c>
      <c r="E138" s="31">
        <v>0</v>
      </c>
      <c r="F138" s="31" t="s">
        <v>153</v>
      </c>
      <c r="G138" s="31">
        <v>0</v>
      </c>
      <c r="H138" s="31">
        <v>0</v>
      </c>
      <c r="I138" s="31" t="e">
        <f t="shared" ca="1" si="0"/>
        <v>#NAME?</v>
      </c>
      <c r="L138" s="31">
        <v>0</v>
      </c>
      <c r="M138" s="31">
        <f t="shared" si="1"/>
        <v>1</v>
      </c>
    </row>
    <row r="139" spans="1:13" ht="14">
      <c r="A139" s="40" t="s">
        <v>227</v>
      </c>
      <c r="B139" s="31" t="s">
        <v>50</v>
      </c>
      <c r="D139" s="31">
        <v>0</v>
      </c>
      <c r="E139" s="31">
        <v>1</v>
      </c>
      <c r="G139" s="31">
        <v>0</v>
      </c>
      <c r="H139" s="31">
        <v>0</v>
      </c>
      <c r="I139" s="31" t="e">
        <f t="shared" ca="1" si="0"/>
        <v>#NAME?</v>
      </c>
      <c r="K139" s="31" t="s">
        <v>229</v>
      </c>
      <c r="L139" s="31">
        <v>0</v>
      </c>
      <c r="M139" s="31">
        <f t="shared" si="1"/>
        <v>1</v>
      </c>
    </row>
    <row r="140" spans="1:13" ht="14">
      <c r="A140" s="40" t="s">
        <v>230</v>
      </c>
      <c r="B140" s="31" t="s">
        <v>50</v>
      </c>
      <c r="D140" s="31">
        <v>0</v>
      </c>
      <c r="E140" s="31">
        <v>1</v>
      </c>
      <c r="F140" s="31" t="s">
        <v>201</v>
      </c>
      <c r="G140" s="31">
        <v>1</v>
      </c>
      <c r="H140" s="31">
        <v>1</v>
      </c>
      <c r="I140" s="31" t="e">
        <f t="shared" ca="1" si="0"/>
        <v>#NAME?</v>
      </c>
      <c r="L140" s="31">
        <v>0</v>
      </c>
      <c r="M140" s="31">
        <f t="shared" si="1"/>
        <v>1</v>
      </c>
    </row>
    <row r="141" spans="1:13" ht="14">
      <c r="A141" s="40" t="s">
        <v>230</v>
      </c>
      <c r="B141" s="31" t="s">
        <v>50</v>
      </c>
      <c r="D141" s="31">
        <v>0</v>
      </c>
      <c r="E141" s="31">
        <v>1</v>
      </c>
      <c r="F141" s="31" t="s">
        <v>358</v>
      </c>
      <c r="G141" s="31">
        <v>1</v>
      </c>
      <c r="H141" s="31">
        <v>0</v>
      </c>
      <c r="I141" s="31" t="e">
        <f t="shared" ca="1" si="0"/>
        <v>#NAME?</v>
      </c>
      <c r="L141" s="31">
        <v>0</v>
      </c>
      <c r="M141" s="31">
        <f t="shared" si="1"/>
        <v>0</v>
      </c>
    </row>
    <row r="142" spans="1:13" ht="14">
      <c r="A142" s="40" t="s">
        <v>233</v>
      </c>
      <c r="B142" s="31" t="s">
        <v>50</v>
      </c>
      <c r="D142" s="31">
        <v>0</v>
      </c>
      <c r="E142" s="31">
        <v>0</v>
      </c>
      <c r="F142" s="31" t="s">
        <v>141</v>
      </c>
      <c r="G142" s="31">
        <v>0</v>
      </c>
      <c r="H142" s="31">
        <v>1</v>
      </c>
      <c r="I142" s="31" t="e">
        <f t="shared" ca="1" si="0"/>
        <v>#NAME?</v>
      </c>
      <c r="L142" s="31">
        <v>0</v>
      </c>
      <c r="M142" s="31">
        <f t="shared" si="1"/>
        <v>1</v>
      </c>
    </row>
    <row r="143" spans="1:13" ht="14">
      <c r="A143" s="40" t="s">
        <v>234</v>
      </c>
      <c r="B143" s="31" t="s">
        <v>50</v>
      </c>
      <c r="D143" s="31">
        <v>0</v>
      </c>
      <c r="E143" s="31">
        <v>0</v>
      </c>
      <c r="F143" s="31" t="s">
        <v>235</v>
      </c>
      <c r="G143" s="31">
        <v>0</v>
      </c>
      <c r="H143" s="31">
        <v>1</v>
      </c>
      <c r="I143" s="31" t="e">
        <f t="shared" ca="1" si="0"/>
        <v>#NAME?</v>
      </c>
      <c r="L143" s="31">
        <v>0</v>
      </c>
      <c r="M143" s="31">
        <f t="shared" si="1"/>
        <v>1</v>
      </c>
    </row>
    <row r="144" spans="1:13" ht="14">
      <c r="A144" s="40" t="s">
        <v>236</v>
      </c>
      <c r="B144" s="31" t="s">
        <v>50</v>
      </c>
      <c r="D144" s="31">
        <v>0</v>
      </c>
      <c r="E144" s="31">
        <v>0</v>
      </c>
      <c r="F144" s="31" t="s">
        <v>237</v>
      </c>
      <c r="G144" s="31">
        <v>0</v>
      </c>
      <c r="H144" s="31">
        <v>1</v>
      </c>
      <c r="I144" s="31" t="e">
        <f t="shared" ca="1" si="0"/>
        <v>#NAME?</v>
      </c>
      <c r="J144" s="33" t="s">
        <v>363</v>
      </c>
      <c r="L144" s="31">
        <v>1</v>
      </c>
      <c r="M144" s="31">
        <f t="shared" si="1"/>
        <v>1</v>
      </c>
    </row>
    <row r="145" spans="1:13" ht="14">
      <c r="A145" s="40" t="s">
        <v>238</v>
      </c>
      <c r="B145" s="31" t="s">
        <v>50</v>
      </c>
      <c r="D145" s="38">
        <v>0</v>
      </c>
      <c r="E145" s="31">
        <v>0</v>
      </c>
      <c r="F145" s="31" t="s">
        <v>364</v>
      </c>
      <c r="G145" s="31">
        <v>0</v>
      </c>
      <c r="H145" s="38">
        <v>1</v>
      </c>
      <c r="I145" s="31" t="e">
        <f t="shared" ca="1" si="0"/>
        <v>#NAME?</v>
      </c>
      <c r="L145" s="38">
        <v>1</v>
      </c>
      <c r="M145" s="31">
        <f t="shared" si="1"/>
        <v>1</v>
      </c>
    </row>
    <row r="146" spans="1:13" ht="14">
      <c r="A146" s="40" t="s">
        <v>238</v>
      </c>
      <c r="B146" s="31" t="s">
        <v>50</v>
      </c>
      <c r="D146" s="38">
        <v>0</v>
      </c>
      <c r="E146" s="31">
        <v>0</v>
      </c>
      <c r="F146" s="31" t="s">
        <v>289</v>
      </c>
      <c r="G146" s="31">
        <v>0</v>
      </c>
      <c r="H146" s="38">
        <v>1</v>
      </c>
      <c r="I146" s="31" t="e">
        <f t="shared" ca="1" si="0"/>
        <v>#NAME?</v>
      </c>
      <c r="L146" s="38">
        <v>1</v>
      </c>
      <c r="M146" s="31">
        <f t="shared" si="1"/>
        <v>0</v>
      </c>
    </row>
    <row r="147" spans="1:13" ht="14">
      <c r="A147" s="40" t="s">
        <v>238</v>
      </c>
      <c r="B147" s="31" t="s">
        <v>50</v>
      </c>
      <c r="D147" s="31">
        <v>0</v>
      </c>
      <c r="E147" s="31">
        <v>0</v>
      </c>
      <c r="F147" s="31" t="s">
        <v>365</v>
      </c>
      <c r="G147" s="31">
        <v>0</v>
      </c>
      <c r="H147" s="31">
        <v>1</v>
      </c>
      <c r="I147" s="31" t="e">
        <f t="shared" ca="1" si="0"/>
        <v>#NAME?</v>
      </c>
      <c r="L147" s="31">
        <v>1</v>
      </c>
      <c r="M147" s="31">
        <f t="shared" si="1"/>
        <v>0</v>
      </c>
    </row>
    <row r="148" spans="1:13" ht="14">
      <c r="A148" s="40" t="s">
        <v>240</v>
      </c>
      <c r="B148" s="31" t="s">
        <v>50</v>
      </c>
      <c r="D148" s="31">
        <v>0</v>
      </c>
      <c r="E148" s="31">
        <v>0</v>
      </c>
      <c r="F148" s="31" t="s">
        <v>241</v>
      </c>
      <c r="G148" s="31">
        <v>0</v>
      </c>
      <c r="H148" s="31">
        <v>1</v>
      </c>
      <c r="I148" s="31" t="e">
        <f t="shared" ca="1" si="0"/>
        <v>#NAME?</v>
      </c>
      <c r="J148" s="33" t="s">
        <v>366</v>
      </c>
      <c r="L148" s="31">
        <v>0</v>
      </c>
      <c r="M148" s="31">
        <f t="shared" si="1"/>
        <v>1</v>
      </c>
    </row>
    <row r="149" spans="1:13" ht="13">
      <c r="A149" s="31" t="s">
        <v>242</v>
      </c>
      <c r="B149" s="31" t="s">
        <v>50</v>
      </c>
      <c r="C149" s="33" t="s">
        <v>243</v>
      </c>
      <c r="D149" s="31">
        <v>0</v>
      </c>
      <c r="E149" s="31">
        <v>0</v>
      </c>
      <c r="F149" s="33" t="s">
        <v>245</v>
      </c>
      <c r="G149" s="31">
        <v>1</v>
      </c>
      <c r="H149" s="31">
        <v>1</v>
      </c>
      <c r="I149" s="31" t="e">
        <f t="shared" ca="1" si="0"/>
        <v>#NAME?</v>
      </c>
      <c r="K149" s="31" t="s">
        <v>246</v>
      </c>
      <c r="L149" s="31">
        <v>0</v>
      </c>
      <c r="M149" s="31">
        <f t="shared" si="1"/>
        <v>1</v>
      </c>
    </row>
    <row r="150" spans="1:13" ht="13">
      <c r="A150" s="31" t="s">
        <v>247</v>
      </c>
      <c r="B150" s="31" t="s">
        <v>50</v>
      </c>
      <c r="C150" s="33" t="s">
        <v>248</v>
      </c>
      <c r="D150" s="31">
        <v>0</v>
      </c>
      <c r="E150" s="31">
        <v>0</v>
      </c>
      <c r="G150" s="34"/>
      <c r="I150" s="31" t="str">
        <f t="shared" si="0"/>
        <v/>
      </c>
      <c r="M150" s="31">
        <f t="shared" si="1"/>
        <v>1</v>
      </c>
    </row>
    <row r="151" spans="1:13" ht="13">
      <c r="A151" s="31" t="s">
        <v>249</v>
      </c>
      <c r="B151" s="31" t="s">
        <v>50</v>
      </c>
      <c r="C151" s="33" t="s">
        <v>250</v>
      </c>
      <c r="D151" s="31">
        <v>0</v>
      </c>
      <c r="E151" s="31">
        <v>0</v>
      </c>
      <c r="F151" s="31" t="s">
        <v>251</v>
      </c>
      <c r="G151" s="31">
        <v>1</v>
      </c>
      <c r="H151" s="31">
        <v>0</v>
      </c>
      <c r="I151" s="31" t="e">
        <f t="shared" ca="1" si="0"/>
        <v>#NAME?</v>
      </c>
      <c r="L151" s="31">
        <v>1</v>
      </c>
      <c r="M151" s="31">
        <f t="shared" si="1"/>
        <v>1</v>
      </c>
    </row>
    <row r="152" spans="1:13" ht="13">
      <c r="A152" s="31" t="s">
        <v>252</v>
      </c>
      <c r="B152" s="31" t="s">
        <v>50</v>
      </c>
      <c r="C152" s="33" t="s">
        <v>253</v>
      </c>
      <c r="D152" s="31">
        <v>0</v>
      </c>
      <c r="E152" s="31">
        <v>1</v>
      </c>
      <c r="F152" s="31" t="s">
        <v>254</v>
      </c>
      <c r="G152" s="31">
        <v>0</v>
      </c>
      <c r="H152" s="31">
        <v>1</v>
      </c>
      <c r="I152" s="31" t="e">
        <f t="shared" ca="1" si="0"/>
        <v>#NAME?</v>
      </c>
      <c r="L152" s="31">
        <v>1</v>
      </c>
      <c r="M152" s="31">
        <f t="shared" si="1"/>
        <v>1</v>
      </c>
    </row>
    <row r="153" spans="1:13" ht="13">
      <c r="A153" s="31" t="s">
        <v>256</v>
      </c>
      <c r="B153" s="31" t="s">
        <v>50</v>
      </c>
      <c r="C153" s="33" t="s">
        <v>257</v>
      </c>
      <c r="D153" s="31">
        <v>0</v>
      </c>
      <c r="E153" s="31">
        <v>0</v>
      </c>
      <c r="F153" s="31" t="s">
        <v>129</v>
      </c>
      <c r="G153" s="31">
        <v>1</v>
      </c>
      <c r="H153" s="31">
        <v>1</v>
      </c>
      <c r="I153" s="31" t="e">
        <f t="shared" ca="1" si="0"/>
        <v>#NAME?</v>
      </c>
      <c r="L153" s="31">
        <v>0</v>
      </c>
      <c r="M153" s="31">
        <f t="shared" si="1"/>
        <v>1</v>
      </c>
    </row>
    <row r="154" spans="1:13" ht="13">
      <c r="A154" s="31" t="s">
        <v>258</v>
      </c>
      <c r="B154" s="31" t="s">
        <v>50</v>
      </c>
      <c r="C154" s="33" t="s">
        <v>259</v>
      </c>
      <c r="D154" s="31">
        <v>0</v>
      </c>
      <c r="E154" s="31">
        <v>0</v>
      </c>
      <c r="F154" s="31" t="s">
        <v>156</v>
      </c>
      <c r="G154" s="31">
        <v>1</v>
      </c>
      <c r="H154" s="31">
        <v>0</v>
      </c>
      <c r="I154" s="31" t="e">
        <f t="shared" ca="1" si="0"/>
        <v>#NAME?</v>
      </c>
      <c r="K154" s="31" t="s">
        <v>260</v>
      </c>
      <c r="L154" s="31">
        <v>0</v>
      </c>
      <c r="M154" s="31">
        <f t="shared" si="1"/>
        <v>1</v>
      </c>
    </row>
    <row r="155" spans="1:13" ht="13">
      <c r="A155" s="31" t="s">
        <v>261</v>
      </c>
      <c r="B155" s="31" t="s">
        <v>50</v>
      </c>
      <c r="C155" s="33" t="s">
        <v>262</v>
      </c>
      <c r="D155" s="31">
        <v>0</v>
      </c>
      <c r="E155" s="31">
        <v>0</v>
      </c>
      <c r="F155" s="31" t="s">
        <v>263</v>
      </c>
      <c r="G155" s="31">
        <v>1</v>
      </c>
      <c r="I155" s="31" t="str">
        <f t="shared" si="0"/>
        <v/>
      </c>
      <c r="L155" s="31">
        <v>0</v>
      </c>
      <c r="M155" s="31">
        <f t="shared" si="1"/>
        <v>1</v>
      </c>
    </row>
    <row r="156" spans="1:13" ht="13">
      <c r="A156" s="31" t="s">
        <v>264</v>
      </c>
      <c r="B156" s="31" t="s">
        <v>50</v>
      </c>
      <c r="C156" s="33" t="s">
        <v>265</v>
      </c>
      <c r="D156" s="31">
        <v>0</v>
      </c>
      <c r="E156" s="31">
        <v>0</v>
      </c>
      <c r="F156" s="31" t="s">
        <v>201</v>
      </c>
      <c r="G156" s="31">
        <v>1</v>
      </c>
      <c r="H156" s="31">
        <v>1</v>
      </c>
      <c r="I156" s="31" t="e">
        <f t="shared" ca="1" si="0"/>
        <v>#NAME?</v>
      </c>
      <c r="L156" s="31">
        <v>0</v>
      </c>
      <c r="M156" s="31">
        <f t="shared" si="1"/>
        <v>1</v>
      </c>
    </row>
    <row r="157" spans="1:13" ht="13">
      <c r="A157" s="31" t="s">
        <v>266</v>
      </c>
      <c r="B157" s="31" t="s">
        <v>50</v>
      </c>
      <c r="C157" s="33" t="s">
        <v>267</v>
      </c>
      <c r="D157" s="31">
        <v>0</v>
      </c>
      <c r="E157" s="31">
        <v>0</v>
      </c>
      <c r="F157" s="31" t="s">
        <v>268</v>
      </c>
      <c r="G157" s="31">
        <v>1</v>
      </c>
      <c r="H157" s="31">
        <v>1</v>
      </c>
      <c r="I157" s="31" t="e">
        <f t="shared" ca="1" si="0"/>
        <v>#NAME?</v>
      </c>
      <c r="L157" s="31">
        <v>0</v>
      </c>
      <c r="M157" s="31">
        <f t="shared" si="1"/>
        <v>1</v>
      </c>
    </row>
    <row r="158" spans="1:13" ht="13">
      <c r="A158" s="31" t="s">
        <v>269</v>
      </c>
      <c r="B158" s="31" t="s">
        <v>50</v>
      </c>
      <c r="C158" s="33" t="s">
        <v>270</v>
      </c>
      <c r="D158" s="31">
        <v>0</v>
      </c>
      <c r="E158" s="31">
        <v>0</v>
      </c>
      <c r="F158" s="31" t="s">
        <v>271</v>
      </c>
      <c r="G158" s="31">
        <v>1</v>
      </c>
      <c r="H158" s="31">
        <v>0</v>
      </c>
      <c r="I158" s="31" t="e">
        <f t="shared" ca="1" si="0"/>
        <v>#NAME?</v>
      </c>
      <c r="L158" s="31">
        <v>0</v>
      </c>
      <c r="M158" s="31">
        <f t="shared" si="1"/>
        <v>1</v>
      </c>
    </row>
    <row r="159" spans="1:13" ht="13">
      <c r="A159" s="31" t="s">
        <v>272</v>
      </c>
      <c r="B159" s="31" t="s">
        <v>50</v>
      </c>
      <c r="C159" s="33" t="s">
        <v>273</v>
      </c>
      <c r="D159" s="31">
        <v>0</v>
      </c>
      <c r="E159" s="31">
        <v>0</v>
      </c>
      <c r="F159" s="33" t="s">
        <v>274</v>
      </c>
      <c r="G159" s="31">
        <v>1</v>
      </c>
      <c r="H159" s="31">
        <v>1</v>
      </c>
      <c r="I159" s="31" t="e">
        <f t="shared" ca="1" si="0"/>
        <v>#NAME?</v>
      </c>
      <c r="L159" s="31">
        <v>0</v>
      </c>
      <c r="M159" s="31">
        <f t="shared" si="1"/>
        <v>1</v>
      </c>
    </row>
    <row r="160" spans="1:13" ht="13">
      <c r="A160" s="31" t="s">
        <v>275</v>
      </c>
      <c r="B160" s="31" t="s">
        <v>50</v>
      </c>
      <c r="C160" s="33" t="s">
        <v>276</v>
      </c>
      <c r="D160" s="31">
        <v>0</v>
      </c>
      <c r="E160" s="31">
        <v>1</v>
      </c>
      <c r="F160" s="31" t="s">
        <v>319</v>
      </c>
      <c r="G160" s="31">
        <v>0</v>
      </c>
      <c r="H160" s="31">
        <v>1</v>
      </c>
      <c r="I160" s="31" t="e">
        <f t="shared" ca="1" si="0"/>
        <v>#NAME?</v>
      </c>
      <c r="L160" s="31">
        <v>0</v>
      </c>
      <c r="M160" s="31">
        <f t="shared" si="1"/>
        <v>1</v>
      </c>
    </row>
    <row r="161" spans="1:13" ht="13">
      <c r="A161" s="31" t="s">
        <v>275</v>
      </c>
      <c r="B161" s="31" t="s">
        <v>50</v>
      </c>
      <c r="C161" s="33" t="s">
        <v>276</v>
      </c>
      <c r="D161" s="31">
        <v>0</v>
      </c>
      <c r="E161" s="31">
        <v>1</v>
      </c>
      <c r="F161" s="31" t="s">
        <v>321</v>
      </c>
      <c r="G161" s="31">
        <v>0</v>
      </c>
      <c r="H161" s="31">
        <v>1</v>
      </c>
      <c r="I161" s="31" t="e">
        <f t="shared" ca="1" si="0"/>
        <v>#NAME?</v>
      </c>
      <c r="L161" s="31">
        <v>0</v>
      </c>
      <c r="M161" s="31">
        <f t="shared" si="1"/>
        <v>0</v>
      </c>
    </row>
    <row r="162" spans="1:13" ht="13">
      <c r="A162" s="31" t="s">
        <v>275</v>
      </c>
      <c r="B162" s="31" t="s">
        <v>50</v>
      </c>
      <c r="C162" s="33" t="s">
        <v>276</v>
      </c>
      <c r="D162" s="31">
        <v>0</v>
      </c>
      <c r="E162" s="31">
        <v>1</v>
      </c>
      <c r="F162" s="31" t="s">
        <v>323</v>
      </c>
      <c r="G162" s="31">
        <v>0</v>
      </c>
      <c r="H162" s="31">
        <v>1</v>
      </c>
      <c r="I162" s="31" t="e">
        <f t="shared" ca="1" si="0"/>
        <v>#NAME?</v>
      </c>
      <c r="L162" s="31">
        <v>0</v>
      </c>
      <c r="M162" s="31">
        <f t="shared" si="1"/>
        <v>0</v>
      </c>
    </row>
    <row r="163" spans="1:13" ht="18" customHeight="1">
      <c r="A163" s="31" t="s">
        <v>279</v>
      </c>
      <c r="B163" s="31" t="s">
        <v>50</v>
      </c>
      <c r="C163" s="33" t="s">
        <v>280</v>
      </c>
      <c r="D163" s="31">
        <v>0</v>
      </c>
      <c r="E163" s="31">
        <v>0</v>
      </c>
      <c r="F163" s="31" t="s">
        <v>159</v>
      </c>
      <c r="G163" s="31">
        <v>1</v>
      </c>
      <c r="H163" s="31">
        <v>0</v>
      </c>
      <c r="I163" s="31" t="e">
        <f t="shared" ca="1" si="0"/>
        <v>#NAME?</v>
      </c>
      <c r="K163" s="31" t="s">
        <v>282</v>
      </c>
      <c r="L163" s="31">
        <v>0</v>
      </c>
      <c r="M163" s="31">
        <f t="shared" si="1"/>
        <v>1</v>
      </c>
    </row>
    <row r="164" spans="1:13" ht="18" customHeight="1">
      <c r="A164" s="31" t="s">
        <v>279</v>
      </c>
      <c r="B164" s="31" t="s">
        <v>50</v>
      </c>
      <c r="C164" s="33" t="s">
        <v>280</v>
      </c>
      <c r="D164" s="31">
        <v>0</v>
      </c>
      <c r="E164" s="31">
        <v>0</v>
      </c>
      <c r="F164" s="31" t="s">
        <v>163</v>
      </c>
      <c r="G164" s="31">
        <v>1</v>
      </c>
      <c r="H164" s="31">
        <v>0</v>
      </c>
      <c r="I164" s="31" t="e">
        <f t="shared" ca="1" si="0"/>
        <v>#NAME?</v>
      </c>
      <c r="K164" s="31" t="s">
        <v>282</v>
      </c>
      <c r="L164" s="31">
        <v>0</v>
      </c>
      <c r="M164" s="31">
        <f t="shared" si="1"/>
        <v>0</v>
      </c>
    </row>
    <row r="165" spans="1:13" ht="18" customHeight="1">
      <c r="A165" s="31" t="s">
        <v>279</v>
      </c>
      <c r="B165" s="31" t="s">
        <v>50</v>
      </c>
      <c r="C165" s="33" t="s">
        <v>280</v>
      </c>
      <c r="D165" s="31">
        <v>0</v>
      </c>
      <c r="E165" s="31">
        <v>0</v>
      </c>
      <c r="F165" s="31" t="s">
        <v>166</v>
      </c>
      <c r="G165" s="31">
        <v>1</v>
      </c>
      <c r="H165" s="31">
        <v>0</v>
      </c>
      <c r="I165" s="31" t="e">
        <f t="shared" ca="1" si="0"/>
        <v>#NAME?</v>
      </c>
      <c r="K165" s="31" t="s">
        <v>282</v>
      </c>
      <c r="L165" s="31">
        <v>0</v>
      </c>
      <c r="M165" s="31">
        <f t="shared" si="1"/>
        <v>0</v>
      </c>
    </row>
    <row r="166" spans="1:13" ht="18" customHeight="1">
      <c r="A166" s="31" t="s">
        <v>279</v>
      </c>
      <c r="B166" s="31" t="s">
        <v>50</v>
      </c>
      <c r="C166" s="33" t="s">
        <v>280</v>
      </c>
      <c r="D166" s="31">
        <v>0</v>
      </c>
      <c r="E166" s="31">
        <v>0</v>
      </c>
      <c r="F166" s="31" t="s">
        <v>169</v>
      </c>
      <c r="G166" s="31">
        <v>1</v>
      </c>
      <c r="H166" s="31">
        <v>0</v>
      </c>
      <c r="I166" s="31" t="e">
        <f t="shared" ca="1" si="0"/>
        <v>#NAME?</v>
      </c>
      <c r="K166" s="31" t="s">
        <v>282</v>
      </c>
      <c r="L166" s="31">
        <v>0</v>
      </c>
      <c r="M166" s="31">
        <f t="shared" si="1"/>
        <v>0</v>
      </c>
    </row>
    <row r="167" spans="1:13" ht="13">
      <c r="A167" s="31" t="s">
        <v>283</v>
      </c>
      <c r="B167" s="31" t="s">
        <v>50</v>
      </c>
      <c r="C167" s="33" t="s">
        <v>284</v>
      </c>
      <c r="D167" s="31">
        <v>0</v>
      </c>
      <c r="E167" s="31">
        <v>0</v>
      </c>
      <c r="F167" s="31" t="s">
        <v>201</v>
      </c>
      <c r="G167" s="31">
        <v>1</v>
      </c>
      <c r="H167" s="31">
        <v>1</v>
      </c>
      <c r="I167" s="31" t="e">
        <f t="shared" ca="1" si="0"/>
        <v>#NAME?</v>
      </c>
      <c r="L167" s="31">
        <v>1</v>
      </c>
      <c r="M167" s="31">
        <f t="shared" si="1"/>
        <v>1</v>
      </c>
    </row>
    <row r="168" spans="1:13" ht="13">
      <c r="A168" s="31" t="s">
        <v>285</v>
      </c>
      <c r="B168" s="31" t="s">
        <v>50</v>
      </c>
      <c r="C168" s="33" t="s">
        <v>286</v>
      </c>
      <c r="D168" s="31">
        <v>0</v>
      </c>
      <c r="E168" s="31">
        <v>0</v>
      </c>
      <c r="F168" s="31" t="s">
        <v>201</v>
      </c>
      <c r="G168" s="31">
        <v>1</v>
      </c>
      <c r="H168" s="31">
        <v>1</v>
      </c>
      <c r="I168" s="31" t="e">
        <f t="shared" ca="1" si="0"/>
        <v>#NAME?</v>
      </c>
      <c r="L168" s="31">
        <v>0</v>
      </c>
      <c r="M168" s="31">
        <f t="shared" si="1"/>
        <v>1</v>
      </c>
    </row>
    <row r="169" spans="1:13" ht="13">
      <c r="A169" s="31" t="s">
        <v>287</v>
      </c>
      <c r="B169" s="31" t="s">
        <v>50</v>
      </c>
      <c r="C169" s="33" t="s">
        <v>288</v>
      </c>
      <c r="D169" s="31">
        <v>0</v>
      </c>
      <c r="E169" s="31">
        <v>0</v>
      </c>
      <c r="F169" s="31" t="s">
        <v>1512</v>
      </c>
      <c r="G169" s="31">
        <v>1</v>
      </c>
      <c r="H169" s="31">
        <v>0</v>
      </c>
      <c r="I169" s="31" t="e">
        <f t="shared" ca="1" si="0"/>
        <v>#NAME?</v>
      </c>
      <c r="L169" s="31">
        <v>0</v>
      </c>
      <c r="M169" s="31">
        <f t="shared" si="1"/>
        <v>1</v>
      </c>
    </row>
    <row r="170" spans="1:13" ht="13">
      <c r="A170" s="31" t="s">
        <v>291</v>
      </c>
      <c r="B170" s="31" t="s">
        <v>50</v>
      </c>
      <c r="C170" s="33" t="s">
        <v>292</v>
      </c>
      <c r="D170" s="31">
        <v>0</v>
      </c>
      <c r="E170" s="31">
        <v>1</v>
      </c>
      <c r="F170" s="31" t="s">
        <v>293</v>
      </c>
      <c r="G170" s="31">
        <v>1</v>
      </c>
      <c r="H170" s="31">
        <v>0</v>
      </c>
      <c r="I170" s="31" t="e">
        <f t="shared" ca="1" si="0"/>
        <v>#NAME?</v>
      </c>
      <c r="L170" s="31">
        <v>1</v>
      </c>
      <c r="M170" s="31">
        <f t="shared" si="1"/>
        <v>1</v>
      </c>
    </row>
    <row r="171" spans="1:13" ht="13">
      <c r="A171" s="31" t="s">
        <v>295</v>
      </c>
      <c r="B171" s="31" t="s">
        <v>50</v>
      </c>
      <c r="C171" s="33" t="s">
        <v>296</v>
      </c>
      <c r="D171" s="31">
        <v>0</v>
      </c>
      <c r="E171" s="31">
        <v>0</v>
      </c>
      <c r="F171" s="31" t="s">
        <v>297</v>
      </c>
      <c r="G171" s="31">
        <v>1</v>
      </c>
      <c r="H171" s="31">
        <v>1</v>
      </c>
      <c r="I171" s="31" t="e">
        <f t="shared" ca="1" si="0"/>
        <v>#NAME?</v>
      </c>
      <c r="L171" s="31">
        <v>1</v>
      </c>
      <c r="M171" s="31">
        <f t="shared" si="1"/>
        <v>1</v>
      </c>
    </row>
    <row r="172" spans="1:13" ht="13">
      <c r="A172" s="31" t="s">
        <v>298</v>
      </c>
      <c r="B172" s="31" t="s">
        <v>50</v>
      </c>
      <c r="C172" s="33" t="s">
        <v>299</v>
      </c>
      <c r="D172" s="31">
        <v>0</v>
      </c>
      <c r="E172" s="31">
        <v>0</v>
      </c>
      <c r="F172" s="31" t="s">
        <v>324</v>
      </c>
      <c r="G172" s="31">
        <v>1</v>
      </c>
      <c r="H172" s="31">
        <v>1</v>
      </c>
      <c r="I172" s="31" t="e">
        <f t="shared" ca="1" si="0"/>
        <v>#NAME?</v>
      </c>
      <c r="L172" s="31">
        <v>0</v>
      </c>
      <c r="M172" s="31">
        <f t="shared" si="1"/>
        <v>1</v>
      </c>
    </row>
    <row r="173" spans="1:13" ht="13">
      <c r="A173" s="31" t="s">
        <v>298</v>
      </c>
      <c r="B173" s="31" t="s">
        <v>50</v>
      </c>
      <c r="C173" s="33" t="s">
        <v>299</v>
      </c>
      <c r="D173" s="31">
        <v>0</v>
      </c>
      <c r="E173" s="31">
        <v>0</v>
      </c>
      <c r="F173" s="31" t="s">
        <v>29</v>
      </c>
      <c r="G173" s="31">
        <v>1</v>
      </c>
      <c r="H173" s="31">
        <v>1</v>
      </c>
      <c r="I173" s="31" t="e">
        <f t="shared" ca="1" si="0"/>
        <v>#NAME?</v>
      </c>
      <c r="L173" s="31">
        <v>0</v>
      </c>
      <c r="M173" s="31">
        <f t="shared" si="1"/>
        <v>0</v>
      </c>
    </row>
    <row r="174" spans="1:13" ht="13">
      <c r="A174" s="31" t="s">
        <v>298</v>
      </c>
      <c r="B174" s="31" t="s">
        <v>50</v>
      </c>
      <c r="C174" s="33" t="s">
        <v>299</v>
      </c>
      <c r="D174" s="31">
        <v>0</v>
      </c>
      <c r="E174" s="31">
        <v>0</v>
      </c>
      <c r="F174" s="31" t="s">
        <v>327</v>
      </c>
      <c r="G174" s="31">
        <v>1</v>
      </c>
      <c r="H174" s="31">
        <v>1</v>
      </c>
      <c r="I174" s="31" t="e">
        <f t="shared" ca="1" si="0"/>
        <v>#NAME?</v>
      </c>
      <c r="L174" s="31">
        <v>0</v>
      </c>
      <c r="M174" s="31">
        <f t="shared" si="1"/>
        <v>0</v>
      </c>
    </row>
    <row r="175" spans="1:13" ht="13">
      <c r="A175" s="31" t="s">
        <v>298</v>
      </c>
      <c r="B175" s="31" t="s">
        <v>50</v>
      </c>
      <c r="C175" s="33" t="s">
        <v>299</v>
      </c>
      <c r="D175" s="38">
        <v>0</v>
      </c>
      <c r="E175" s="38">
        <v>0</v>
      </c>
      <c r="F175" s="31" t="s">
        <v>367</v>
      </c>
      <c r="G175" s="38">
        <v>0</v>
      </c>
      <c r="H175" s="38">
        <v>1</v>
      </c>
      <c r="I175" s="31" t="e">
        <f t="shared" ca="1" si="0"/>
        <v>#NAME?</v>
      </c>
      <c r="L175" s="38">
        <v>0</v>
      </c>
      <c r="M175" s="31">
        <f t="shared" si="1"/>
        <v>0</v>
      </c>
    </row>
    <row r="176" spans="1:13" ht="13">
      <c r="A176" s="31" t="s">
        <v>298</v>
      </c>
      <c r="B176" s="31" t="s">
        <v>50</v>
      </c>
      <c r="C176" s="33" t="s">
        <v>299</v>
      </c>
      <c r="D176" s="31">
        <v>0</v>
      </c>
      <c r="E176" s="31">
        <v>0</v>
      </c>
      <c r="F176" s="31" t="s">
        <v>328</v>
      </c>
      <c r="G176" s="31">
        <v>1</v>
      </c>
      <c r="H176" s="31">
        <v>1</v>
      </c>
      <c r="I176" s="31" t="e">
        <f t="shared" ca="1" si="0"/>
        <v>#NAME?</v>
      </c>
      <c r="L176" s="31">
        <v>0</v>
      </c>
      <c r="M176" s="31">
        <f t="shared" si="1"/>
        <v>0</v>
      </c>
    </row>
    <row r="177" spans="1:13" ht="13">
      <c r="A177" s="31" t="s">
        <v>298</v>
      </c>
      <c r="B177" s="31" t="s">
        <v>50</v>
      </c>
      <c r="C177" s="33" t="s">
        <v>299</v>
      </c>
      <c r="D177" s="31">
        <v>0</v>
      </c>
      <c r="E177" s="31">
        <v>0</v>
      </c>
      <c r="F177" s="31" t="s">
        <v>329</v>
      </c>
      <c r="G177" s="31">
        <v>1</v>
      </c>
      <c r="H177" s="31">
        <v>1</v>
      </c>
      <c r="I177" s="31" t="e">
        <f t="shared" ca="1" si="0"/>
        <v>#NAME?</v>
      </c>
      <c r="L177" s="31">
        <v>0</v>
      </c>
      <c r="M177" s="31">
        <f t="shared" si="1"/>
        <v>0</v>
      </c>
    </row>
    <row r="178" spans="1:13" ht="13">
      <c r="A178" s="31" t="s">
        <v>301</v>
      </c>
      <c r="B178" s="31" t="s">
        <v>50</v>
      </c>
      <c r="C178" s="33" t="s">
        <v>302</v>
      </c>
      <c r="D178" s="31">
        <v>0</v>
      </c>
      <c r="E178" s="31">
        <v>0</v>
      </c>
      <c r="F178" s="31" t="s">
        <v>330</v>
      </c>
      <c r="G178" s="31">
        <v>0</v>
      </c>
      <c r="H178" s="31">
        <v>1</v>
      </c>
      <c r="I178" s="31" t="e">
        <f t="shared" ca="1" si="0"/>
        <v>#NAME?</v>
      </c>
      <c r="J178" s="34"/>
      <c r="K178" s="34"/>
      <c r="L178" s="31">
        <v>0</v>
      </c>
      <c r="M178" s="31">
        <f t="shared" si="1"/>
        <v>1</v>
      </c>
    </row>
    <row r="179" spans="1:13" ht="13">
      <c r="A179" s="31" t="s">
        <v>301</v>
      </c>
      <c r="B179" s="31" t="s">
        <v>50</v>
      </c>
      <c r="C179" s="33" t="s">
        <v>302</v>
      </c>
      <c r="D179" s="31">
        <v>0</v>
      </c>
      <c r="E179" s="31">
        <v>0</v>
      </c>
      <c r="F179" s="31" t="s">
        <v>332</v>
      </c>
      <c r="G179" s="31">
        <v>0</v>
      </c>
      <c r="H179" s="31">
        <v>1</v>
      </c>
      <c r="I179" s="31" t="e">
        <f t="shared" ca="1" si="0"/>
        <v>#NAME?</v>
      </c>
      <c r="J179" s="34"/>
      <c r="K179" s="34"/>
      <c r="L179" s="31">
        <v>0</v>
      </c>
      <c r="M179" s="31">
        <f t="shared" si="1"/>
        <v>0</v>
      </c>
    </row>
    <row r="180" spans="1:13" ht="13">
      <c r="A180" s="31" t="s">
        <v>301</v>
      </c>
      <c r="B180" s="31" t="s">
        <v>50</v>
      </c>
      <c r="C180" s="33" t="s">
        <v>302</v>
      </c>
      <c r="D180" s="31">
        <v>0</v>
      </c>
      <c r="E180" s="31">
        <v>0</v>
      </c>
      <c r="F180" s="31" t="s">
        <v>333</v>
      </c>
      <c r="G180" s="31">
        <v>0</v>
      </c>
      <c r="H180" s="31">
        <v>1</v>
      </c>
      <c r="I180" s="31" t="e">
        <f t="shared" ca="1" si="0"/>
        <v>#NAME?</v>
      </c>
      <c r="J180" s="34"/>
      <c r="K180" s="34"/>
      <c r="L180" s="31">
        <v>0</v>
      </c>
      <c r="M180" s="31">
        <f t="shared" si="1"/>
        <v>0</v>
      </c>
    </row>
    <row r="181" spans="1:13" ht="13">
      <c r="A181" s="31" t="s">
        <v>301</v>
      </c>
      <c r="B181" s="31" t="s">
        <v>50</v>
      </c>
      <c r="C181" s="33" t="s">
        <v>302</v>
      </c>
      <c r="D181" s="31">
        <v>0</v>
      </c>
      <c r="E181" s="31">
        <v>0</v>
      </c>
      <c r="F181" s="31" t="s">
        <v>334</v>
      </c>
      <c r="G181" s="31">
        <v>0</v>
      </c>
      <c r="H181" s="31">
        <v>1</v>
      </c>
      <c r="I181" s="31" t="e">
        <f t="shared" ca="1" si="0"/>
        <v>#NAME?</v>
      </c>
      <c r="J181" s="34"/>
      <c r="K181" s="34"/>
      <c r="L181" s="31">
        <v>0</v>
      </c>
      <c r="M181" s="31">
        <f t="shared" si="1"/>
        <v>0</v>
      </c>
    </row>
    <row r="182" spans="1:13" ht="13">
      <c r="A182" s="31" t="s">
        <v>301</v>
      </c>
      <c r="B182" s="31" t="s">
        <v>50</v>
      </c>
      <c r="C182" s="33" t="s">
        <v>302</v>
      </c>
      <c r="D182" s="31">
        <v>0</v>
      </c>
      <c r="E182" s="31">
        <v>0</v>
      </c>
      <c r="F182" s="31" t="s">
        <v>336</v>
      </c>
      <c r="G182" s="31">
        <v>0</v>
      </c>
      <c r="H182" s="31">
        <v>1</v>
      </c>
      <c r="I182" s="31" t="e">
        <f t="shared" ca="1" si="0"/>
        <v>#NAME?</v>
      </c>
      <c r="J182" s="34"/>
      <c r="K182" s="34"/>
      <c r="L182" s="31">
        <v>0</v>
      </c>
      <c r="M182" s="31">
        <f t="shared" si="1"/>
        <v>0</v>
      </c>
    </row>
    <row r="183" spans="1:13" ht="13">
      <c r="A183" s="31" t="s">
        <v>301</v>
      </c>
      <c r="B183" s="31" t="s">
        <v>50</v>
      </c>
      <c r="C183" s="33" t="s">
        <v>302</v>
      </c>
      <c r="D183" s="31">
        <v>0</v>
      </c>
      <c r="E183" s="31">
        <v>0</v>
      </c>
      <c r="F183" s="31" t="s">
        <v>337</v>
      </c>
      <c r="G183" s="31">
        <v>0</v>
      </c>
      <c r="H183" s="31">
        <v>1</v>
      </c>
      <c r="I183" s="31" t="e">
        <f t="shared" ca="1" si="0"/>
        <v>#NAME?</v>
      </c>
      <c r="J183" s="34"/>
      <c r="K183" s="34"/>
      <c r="L183" s="31">
        <v>0</v>
      </c>
      <c r="M183" s="31">
        <f t="shared" si="1"/>
        <v>0</v>
      </c>
    </row>
    <row r="184" spans="1:13" ht="13">
      <c r="A184" s="31" t="s">
        <v>305</v>
      </c>
      <c r="B184" s="31" t="s">
        <v>50</v>
      </c>
      <c r="C184" s="33" t="s">
        <v>306</v>
      </c>
      <c r="D184" s="31">
        <v>0</v>
      </c>
      <c r="E184" s="31">
        <v>0</v>
      </c>
      <c r="F184" s="31" t="s">
        <v>307</v>
      </c>
      <c r="G184" s="31">
        <v>1</v>
      </c>
      <c r="H184" s="31">
        <v>0</v>
      </c>
      <c r="I184" s="31" t="e">
        <f t="shared" ca="1" si="0"/>
        <v>#NAME?</v>
      </c>
      <c r="L184" s="31">
        <v>0</v>
      </c>
      <c r="M184" s="31">
        <f t="shared" si="1"/>
        <v>1</v>
      </c>
    </row>
    <row r="185" spans="1:13" ht="13">
      <c r="A185" s="31" t="s">
        <v>308</v>
      </c>
      <c r="B185" s="31" t="s">
        <v>50</v>
      </c>
      <c r="C185" s="33" t="s">
        <v>309</v>
      </c>
      <c r="D185" s="31">
        <v>0</v>
      </c>
      <c r="E185" s="31">
        <v>0</v>
      </c>
      <c r="F185" s="31" t="s">
        <v>310</v>
      </c>
      <c r="G185" s="31">
        <v>1</v>
      </c>
      <c r="H185" s="31">
        <v>0</v>
      </c>
      <c r="I185" s="31" t="e">
        <f t="shared" ca="1" si="0"/>
        <v>#NAME?</v>
      </c>
      <c r="L185" s="31">
        <v>1</v>
      </c>
      <c r="M185" s="31">
        <f t="shared" si="1"/>
        <v>1</v>
      </c>
    </row>
    <row r="186" spans="1:13" ht="13">
      <c r="A186" s="31" t="s">
        <v>311</v>
      </c>
      <c r="B186" s="31" t="s">
        <v>50</v>
      </c>
      <c r="C186" s="33" t="s">
        <v>312</v>
      </c>
      <c r="D186" s="31">
        <v>0</v>
      </c>
      <c r="E186" s="31">
        <v>0</v>
      </c>
      <c r="F186" s="31" t="s">
        <v>313</v>
      </c>
      <c r="G186" s="31">
        <v>1</v>
      </c>
      <c r="H186" s="31">
        <v>1</v>
      </c>
      <c r="I186" s="31" t="e">
        <f t="shared" ca="1" si="0"/>
        <v>#NAME?</v>
      </c>
      <c r="L186" s="31">
        <v>0</v>
      </c>
      <c r="M186" s="31">
        <f t="shared" si="1"/>
        <v>1</v>
      </c>
    </row>
    <row r="187" spans="1:13" ht="13">
      <c r="A187" s="31" t="s">
        <v>314</v>
      </c>
      <c r="B187" s="31" t="s">
        <v>50</v>
      </c>
      <c r="C187" s="33" t="s">
        <v>315</v>
      </c>
      <c r="D187" s="31">
        <v>0</v>
      </c>
      <c r="E187" s="31">
        <v>0</v>
      </c>
      <c r="F187" s="31" t="s">
        <v>338</v>
      </c>
      <c r="G187" s="31">
        <v>0</v>
      </c>
      <c r="H187" s="31">
        <v>1</v>
      </c>
      <c r="I187" s="31" t="e">
        <f t="shared" ca="1" si="0"/>
        <v>#NAME?</v>
      </c>
      <c r="J187" s="34"/>
      <c r="K187" s="34"/>
      <c r="L187" s="31">
        <v>1</v>
      </c>
      <c r="M187" s="31">
        <f t="shared" si="1"/>
        <v>1</v>
      </c>
    </row>
    <row r="188" spans="1:13" ht="13">
      <c r="A188" s="31" t="s">
        <v>314</v>
      </c>
      <c r="B188" s="31" t="s">
        <v>50</v>
      </c>
      <c r="C188" s="33" t="s">
        <v>315</v>
      </c>
      <c r="D188" s="31">
        <v>0</v>
      </c>
      <c r="E188" s="31">
        <v>0</v>
      </c>
      <c r="F188" s="31" t="s">
        <v>339</v>
      </c>
      <c r="G188" s="31">
        <v>0</v>
      </c>
      <c r="H188" s="31">
        <v>1</v>
      </c>
      <c r="I188" s="31" t="e">
        <f t="shared" ca="1" si="0"/>
        <v>#NAME?</v>
      </c>
      <c r="J188" s="34"/>
      <c r="K188" s="34"/>
      <c r="L188" s="31">
        <v>1</v>
      </c>
      <c r="M188" s="31">
        <f t="shared" si="1"/>
        <v>0</v>
      </c>
    </row>
    <row r="189" spans="1:13" ht="13">
      <c r="A189" s="31" t="s">
        <v>314</v>
      </c>
      <c r="B189" s="31" t="s">
        <v>50</v>
      </c>
      <c r="C189" s="33" t="s">
        <v>315</v>
      </c>
      <c r="D189" s="31">
        <v>0</v>
      </c>
      <c r="E189" s="31">
        <v>0</v>
      </c>
      <c r="F189" s="31" t="s">
        <v>340</v>
      </c>
      <c r="G189" s="31">
        <v>1</v>
      </c>
      <c r="H189" s="31">
        <v>1</v>
      </c>
      <c r="I189" s="31" t="e">
        <f t="shared" ca="1" si="0"/>
        <v>#NAME?</v>
      </c>
      <c r="J189" s="34"/>
      <c r="K189" s="34"/>
      <c r="L189" s="31">
        <v>1</v>
      </c>
      <c r="M189" s="31">
        <f t="shared" si="1"/>
        <v>0</v>
      </c>
    </row>
    <row r="190" spans="1:13" ht="13">
      <c r="A190" s="31" t="s">
        <v>314</v>
      </c>
      <c r="B190" s="31" t="s">
        <v>50</v>
      </c>
      <c r="C190" s="33" t="s">
        <v>315</v>
      </c>
      <c r="D190" s="31">
        <v>0</v>
      </c>
      <c r="E190" s="31">
        <v>0</v>
      </c>
      <c r="F190" s="31" t="s">
        <v>341</v>
      </c>
      <c r="G190" s="31">
        <v>1</v>
      </c>
      <c r="H190" s="31">
        <v>1</v>
      </c>
      <c r="I190" s="31" t="e">
        <f t="shared" ca="1" si="0"/>
        <v>#NAME?</v>
      </c>
      <c r="J190" s="34"/>
      <c r="K190" s="34"/>
      <c r="L190" s="31">
        <v>1</v>
      </c>
      <c r="M190" s="31">
        <f t="shared" si="1"/>
        <v>0</v>
      </c>
    </row>
    <row r="191" spans="1:13" ht="13">
      <c r="A191" s="31" t="s">
        <v>314</v>
      </c>
      <c r="B191" s="31" t="s">
        <v>50</v>
      </c>
      <c r="C191" s="33" t="s">
        <v>315</v>
      </c>
      <c r="D191" s="31">
        <v>0</v>
      </c>
      <c r="E191" s="31">
        <v>0</v>
      </c>
      <c r="F191" s="31" t="s">
        <v>342</v>
      </c>
      <c r="G191" s="31">
        <v>0</v>
      </c>
      <c r="H191" s="31">
        <v>1</v>
      </c>
      <c r="I191" s="31" t="e">
        <f t="shared" ca="1" si="0"/>
        <v>#NAME?</v>
      </c>
      <c r="J191" s="34"/>
      <c r="K191" s="34"/>
      <c r="L191" s="31">
        <v>1</v>
      </c>
      <c r="M191" s="31">
        <f t="shared" si="1"/>
        <v>0</v>
      </c>
    </row>
    <row r="192" spans="1:13" ht="13">
      <c r="A192" s="31" t="s">
        <v>317</v>
      </c>
      <c r="B192" s="31" t="s">
        <v>50</v>
      </c>
      <c r="C192" s="33" t="s">
        <v>318</v>
      </c>
      <c r="D192" s="31">
        <v>0</v>
      </c>
      <c r="E192" s="31">
        <v>0</v>
      </c>
      <c r="F192" s="31" t="s">
        <v>175</v>
      </c>
      <c r="G192" s="31">
        <v>1</v>
      </c>
      <c r="H192" s="31">
        <v>0</v>
      </c>
      <c r="I192" s="31" t="e">
        <f t="shared" ca="1" si="0"/>
        <v>#NAME?</v>
      </c>
      <c r="J192" s="33" t="s">
        <v>368</v>
      </c>
      <c r="L192" s="31">
        <v>0</v>
      </c>
      <c r="M192" s="31">
        <f t="shared" si="1"/>
        <v>1</v>
      </c>
    </row>
    <row r="193" spans="1:13" ht="13">
      <c r="A193" s="34" t="s">
        <v>580</v>
      </c>
      <c r="B193" s="31" t="s">
        <v>74</v>
      </c>
      <c r="C193" s="33" t="s">
        <v>438</v>
      </c>
      <c r="D193" s="31">
        <v>0</v>
      </c>
      <c r="E193" s="31">
        <v>0</v>
      </c>
      <c r="F193" s="31" t="s">
        <v>581</v>
      </c>
      <c r="G193" s="31">
        <v>1</v>
      </c>
      <c r="H193" s="31">
        <v>0</v>
      </c>
      <c r="I193" s="31" t="e">
        <f t="shared" ca="1" si="0"/>
        <v>#NAME?</v>
      </c>
      <c r="L193" s="31">
        <v>1</v>
      </c>
      <c r="M193" s="31">
        <f t="shared" si="1"/>
        <v>1</v>
      </c>
    </row>
    <row r="194" spans="1:13" ht="13">
      <c r="A194" s="34" t="s">
        <v>580</v>
      </c>
      <c r="B194" s="31" t="s">
        <v>74</v>
      </c>
      <c r="C194" s="33" t="s">
        <v>438</v>
      </c>
      <c r="D194" s="31">
        <v>0</v>
      </c>
      <c r="E194" s="31">
        <v>0</v>
      </c>
      <c r="F194" s="31" t="s">
        <v>582</v>
      </c>
      <c r="G194" s="31">
        <v>1</v>
      </c>
      <c r="H194" s="31">
        <v>0</v>
      </c>
      <c r="I194" s="31" t="e">
        <f t="shared" ca="1" si="0"/>
        <v>#NAME?</v>
      </c>
      <c r="M194" s="31">
        <f t="shared" si="1"/>
        <v>0</v>
      </c>
    </row>
    <row r="195" spans="1:13" ht="13">
      <c r="A195" s="34" t="s">
        <v>580</v>
      </c>
      <c r="B195" s="31" t="s">
        <v>74</v>
      </c>
      <c r="C195" s="33" t="s">
        <v>438</v>
      </c>
      <c r="D195" s="31">
        <v>0</v>
      </c>
      <c r="E195" s="31">
        <v>0</v>
      </c>
      <c r="F195" s="31" t="s">
        <v>583</v>
      </c>
      <c r="G195" s="31">
        <v>1</v>
      </c>
      <c r="H195" s="31">
        <v>0</v>
      </c>
      <c r="I195" s="31" t="e">
        <f t="shared" ca="1" si="0"/>
        <v>#NAME?</v>
      </c>
      <c r="M195" s="31">
        <f t="shared" si="1"/>
        <v>0</v>
      </c>
    </row>
    <row r="196" spans="1:13" ht="13">
      <c r="A196" s="34" t="s">
        <v>584</v>
      </c>
      <c r="B196" s="31" t="s">
        <v>74</v>
      </c>
      <c r="C196" s="33" t="s">
        <v>439</v>
      </c>
      <c r="D196" s="31">
        <v>0</v>
      </c>
      <c r="E196" s="31">
        <v>0</v>
      </c>
      <c r="F196" s="31" t="s">
        <v>585</v>
      </c>
      <c r="G196" s="31">
        <v>0</v>
      </c>
      <c r="H196" s="31">
        <v>1</v>
      </c>
      <c r="I196" s="31" t="e">
        <f t="shared" ca="1" si="0"/>
        <v>#NAME?</v>
      </c>
      <c r="L196" s="31">
        <v>0</v>
      </c>
      <c r="M196" s="31">
        <f t="shared" si="1"/>
        <v>1</v>
      </c>
    </row>
    <row r="197" spans="1:13" ht="13">
      <c r="A197" s="34" t="s">
        <v>584</v>
      </c>
      <c r="B197" s="31" t="s">
        <v>74</v>
      </c>
      <c r="C197" s="33" t="s">
        <v>439</v>
      </c>
      <c r="D197" s="31">
        <v>0</v>
      </c>
      <c r="E197" s="31">
        <v>0</v>
      </c>
      <c r="F197" s="31" t="s">
        <v>586</v>
      </c>
      <c r="G197" s="31">
        <v>0</v>
      </c>
      <c r="H197" s="31">
        <v>1</v>
      </c>
      <c r="I197" s="31" t="e">
        <f t="shared" ca="1" si="0"/>
        <v>#NAME?</v>
      </c>
      <c r="M197" s="31">
        <f t="shared" si="1"/>
        <v>0</v>
      </c>
    </row>
    <row r="198" spans="1:13" ht="13">
      <c r="A198" s="34" t="s">
        <v>584</v>
      </c>
      <c r="B198" s="31" t="s">
        <v>74</v>
      </c>
      <c r="C198" s="33" t="s">
        <v>439</v>
      </c>
      <c r="D198" s="31">
        <v>0</v>
      </c>
      <c r="E198" s="31">
        <v>0</v>
      </c>
      <c r="F198" s="41" t="s">
        <v>587</v>
      </c>
      <c r="G198" s="31">
        <v>0</v>
      </c>
      <c r="H198" s="31">
        <v>1</v>
      </c>
      <c r="I198" s="31" t="e">
        <f t="shared" ca="1" si="0"/>
        <v>#NAME?</v>
      </c>
      <c r="M198" s="31">
        <f t="shared" si="1"/>
        <v>0</v>
      </c>
    </row>
    <row r="199" spans="1:13" ht="13">
      <c r="A199" s="34" t="s">
        <v>588</v>
      </c>
      <c r="B199" s="31" t="s">
        <v>74</v>
      </c>
      <c r="C199" s="33" t="s">
        <v>440</v>
      </c>
      <c r="D199" s="31">
        <v>0</v>
      </c>
      <c r="E199" s="31">
        <v>0</v>
      </c>
      <c r="F199" s="31" t="s">
        <v>589</v>
      </c>
      <c r="G199" s="31">
        <v>0</v>
      </c>
      <c r="H199" s="31">
        <v>1</v>
      </c>
      <c r="I199" s="31" t="e">
        <f t="shared" ca="1" si="0"/>
        <v>#NAME?</v>
      </c>
      <c r="L199" s="31">
        <v>0</v>
      </c>
      <c r="M199" s="31">
        <f t="shared" si="1"/>
        <v>1</v>
      </c>
    </row>
    <row r="200" spans="1:13" ht="13">
      <c r="A200" s="34" t="s">
        <v>588</v>
      </c>
      <c r="B200" s="31" t="s">
        <v>74</v>
      </c>
      <c r="C200" s="33" t="s">
        <v>440</v>
      </c>
      <c r="D200" s="31">
        <v>0</v>
      </c>
      <c r="E200" s="31">
        <v>0</v>
      </c>
      <c r="F200" s="31" t="s">
        <v>590</v>
      </c>
      <c r="G200" s="31">
        <v>0</v>
      </c>
      <c r="H200" s="31">
        <v>1</v>
      </c>
      <c r="I200" s="31" t="e">
        <f t="shared" ca="1" si="0"/>
        <v>#NAME?</v>
      </c>
      <c r="M200" s="31">
        <f t="shared" si="1"/>
        <v>0</v>
      </c>
    </row>
    <row r="201" spans="1:13" ht="13">
      <c r="A201" s="34" t="s">
        <v>591</v>
      </c>
      <c r="B201" s="31" t="s">
        <v>74</v>
      </c>
      <c r="C201" s="33" t="s">
        <v>441</v>
      </c>
      <c r="D201" s="31">
        <v>0</v>
      </c>
      <c r="E201" s="31">
        <v>0</v>
      </c>
      <c r="F201" s="31" t="s">
        <v>592</v>
      </c>
      <c r="G201" s="31">
        <v>0</v>
      </c>
      <c r="H201" s="31">
        <v>1</v>
      </c>
      <c r="I201" s="31" t="e">
        <f t="shared" ca="1" si="0"/>
        <v>#NAME?</v>
      </c>
      <c r="L201" s="31">
        <v>0</v>
      </c>
      <c r="M201" s="31">
        <f t="shared" si="1"/>
        <v>1</v>
      </c>
    </row>
    <row r="202" spans="1:13" ht="13">
      <c r="A202" s="34" t="s">
        <v>591</v>
      </c>
      <c r="B202" s="31" t="s">
        <v>74</v>
      </c>
      <c r="C202" s="33" t="s">
        <v>441</v>
      </c>
      <c r="D202" s="31">
        <v>0</v>
      </c>
      <c r="E202" s="31">
        <v>0</v>
      </c>
      <c r="F202" s="31" t="s">
        <v>593</v>
      </c>
      <c r="G202" s="31">
        <v>0</v>
      </c>
      <c r="H202" s="31">
        <v>0</v>
      </c>
      <c r="I202" s="31" t="e">
        <f t="shared" ca="1" si="0"/>
        <v>#NAME?</v>
      </c>
      <c r="M202" s="31">
        <f t="shared" si="1"/>
        <v>0</v>
      </c>
    </row>
    <row r="203" spans="1:13" ht="13">
      <c r="A203" s="34" t="s">
        <v>591</v>
      </c>
      <c r="B203" s="31" t="s">
        <v>74</v>
      </c>
      <c r="C203" s="33" t="s">
        <v>441</v>
      </c>
      <c r="D203" s="31">
        <v>0</v>
      </c>
      <c r="E203" s="31">
        <v>0</v>
      </c>
      <c r="F203" s="31" t="s">
        <v>594</v>
      </c>
      <c r="G203" s="31">
        <v>0</v>
      </c>
      <c r="H203" s="31">
        <v>0</v>
      </c>
      <c r="I203" s="31" t="e">
        <f t="shared" ca="1" si="0"/>
        <v>#NAME?</v>
      </c>
      <c r="M203" s="31">
        <f t="shared" si="1"/>
        <v>0</v>
      </c>
    </row>
    <row r="204" spans="1:13" ht="13">
      <c r="A204" s="34" t="s">
        <v>595</v>
      </c>
      <c r="B204" s="31" t="s">
        <v>74</v>
      </c>
      <c r="C204" s="33" t="s">
        <v>442</v>
      </c>
      <c r="D204" s="31">
        <v>0</v>
      </c>
      <c r="E204" s="31">
        <v>0</v>
      </c>
      <c r="F204" s="31" t="s">
        <v>596</v>
      </c>
      <c r="G204" s="31">
        <v>0</v>
      </c>
      <c r="H204" s="31">
        <v>1</v>
      </c>
      <c r="I204" s="31" t="e">
        <f t="shared" ca="1" si="0"/>
        <v>#NAME?</v>
      </c>
      <c r="L204" s="31">
        <v>9</v>
      </c>
      <c r="M204" s="31">
        <f t="shared" si="1"/>
        <v>1</v>
      </c>
    </row>
    <row r="205" spans="1:13" ht="13">
      <c r="A205" s="34" t="s">
        <v>595</v>
      </c>
      <c r="B205" s="31" t="s">
        <v>74</v>
      </c>
      <c r="C205" s="33" t="s">
        <v>442</v>
      </c>
      <c r="D205" s="31">
        <v>0</v>
      </c>
      <c r="E205" s="31">
        <v>0</v>
      </c>
      <c r="F205" s="31" t="s">
        <v>597</v>
      </c>
      <c r="G205" s="31">
        <v>0</v>
      </c>
      <c r="H205" s="31">
        <v>1</v>
      </c>
      <c r="I205" s="31" t="e">
        <f t="shared" ca="1" si="0"/>
        <v>#NAME?</v>
      </c>
      <c r="M205" s="31">
        <f t="shared" si="1"/>
        <v>0</v>
      </c>
    </row>
    <row r="206" spans="1:13" ht="13">
      <c r="A206" s="34" t="s">
        <v>598</v>
      </c>
      <c r="B206" s="31" t="s">
        <v>74</v>
      </c>
      <c r="C206" s="33" t="s">
        <v>443</v>
      </c>
      <c r="D206" s="31">
        <v>0</v>
      </c>
      <c r="E206" s="31">
        <v>0</v>
      </c>
      <c r="F206" s="31" t="s">
        <v>567</v>
      </c>
      <c r="G206" s="31">
        <v>0</v>
      </c>
      <c r="H206" s="31">
        <v>1</v>
      </c>
      <c r="I206" s="31" t="e">
        <f t="shared" ca="1" si="0"/>
        <v>#NAME?</v>
      </c>
      <c r="L206" s="31">
        <v>0</v>
      </c>
      <c r="M206" s="31">
        <f t="shared" si="1"/>
        <v>1</v>
      </c>
    </row>
    <row r="207" spans="1:13" ht="13">
      <c r="A207" s="34" t="s">
        <v>598</v>
      </c>
      <c r="B207" s="31" t="s">
        <v>74</v>
      </c>
      <c r="C207" s="33" t="s">
        <v>443</v>
      </c>
      <c r="D207" s="31">
        <v>0</v>
      </c>
      <c r="E207" s="31">
        <v>0</v>
      </c>
      <c r="F207" s="31" t="s">
        <v>599</v>
      </c>
      <c r="G207" s="31">
        <v>0</v>
      </c>
      <c r="H207" s="31">
        <v>1</v>
      </c>
      <c r="I207" s="31" t="e">
        <f t="shared" ca="1" si="0"/>
        <v>#NAME?</v>
      </c>
      <c r="M207" s="31">
        <f t="shared" si="1"/>
        <v>0</v>
      </c>
    </row>
    <row r="208" spans="1:13" ht="13">
      <c r="A208" s="34" t="s">
        <v>598</v>
      </c>
      <c r="B208" s="31" t="s">
        <v>74</v>
      </c>
      <c r="C208" s="33" t="s">
        <v>443</v>
      </c>
      <c r="D208" s="31">
        <v>0</v>
      </c>
      <c r="E208" s="31">
        <v>0</v>
      </c>
      <c r="F208" s="31" t="s">
        <v>600</v>
      </c>
      <c r="G208" s="31">
        <v>0</v>
      </c>
      <c r="H208" s="31">
        <v>1</v>
      </c>
      <c r="I208" s="31" t="e">
        <f t="shared" ca="1" si="0"/>
        <v>#NAME?</v>
      </c>
      <c r="M208" s="31">
        <f t="shared" si="1"/>
        <v>0</v>
      </c>
    </row>
    <row r="209" spans="1:13" ht="13">
      <c r="A209" s="34" t="s">
        <v>598</v>
      </c>
      <c r="B209" s="31" t="s">
        <v>74</v>
      </c>
      <c r="C209" s="33" t="s">
        <v>443</v>
      </c>
      <c r="D209" s="31">
        <v>0</v>
      </c>
      <c r="E209" s="31">
        <v>0</v>
      </c>
      <c r="F209" s="31" t="s">
        <v>601</v>
      </c>
      <c r="G209" s="31">
        <v>0</v>
      </c>
      <c r="H209" s="31">
        <v>1</v>
      </c>
      <c r="I209" s="31" t="e">
        <f t="shared" ca="1" si="0"/>
        <v>#NAME?</v>
      </c>
      <c r="M209" s="31">
        <f t="shared" si="1"/>
        <v>0</v>
      </c>
    </row>
    <row r="210" spans="1:13" ht="13">
      <c r="A210" s="34" t="s">
        <v>598</v>
      </c>
      <c r="B210" s="31" t="s">
        <v>74</v>
      </c>
      <c r="C210" s="33" t="s">
        <v>443</v>
      </c>
      <c r="D210" s="31">
        <v>0</v>
      </c>
      <c r="E210" s="31">
        <v>0</v>
      </c>
      <c r="F210" s="31" t="s">
        <v>602</v>
      </c>
      <c r="G210" s="31">
        <v>0</v>
      </c>
      <c r="H210" s="31">
        <v>1</v>
      </c>
      <c r="I210" s="31" t="e">
        <f t="shared" ca="1" si="0"/>
        <v>#NAME?</v>
      </c>
      <c r="M210" s="31">
        <f t="shared" si="1"/>
        <v>0</v>
      </c>
    </row>
    <row r="211" spans="1:13" ht="13">
      <c r="A211" s="34" t="s">
        <v>598</v>
      </c>
      <c r="B211" s="31" t="s">
        <v>74</v>
      </c>
      <c r="C211" s="33" t="s">
        <v>443</v>
      </c>
      <c r="D211" s="31">
        <v>0</v>
      </c>
      <c r="E211" s="31">
        <v>0</v>
      </c>
      <c r="F211" s="31" t="s">
        <v>603</v>
      </c>
      <c r="G211" s="31">
        <v>0</v>
      </c>
      <c r="H211" s="31">
        <v>1</v>
      </c>
      <c r="I211" s="31" t="e">
        <f t="shared" ca="1" si="0"/>
        <v>#NAME?</v>
      </c>
      <c r="M211" s="31">
        <f t="shared" si="1"/>
        <v>0</v>
      </c>
    </row>
    <row r="212" spans="1:13" ht="13">
      <c r="A212" s="34" t="s">
        <v>604</v>
      </c>
      <c r="B212" s="31" t="s">
        <v>74</v>
      </c>
      <c r="C212" s="33" t="s">
        <v>444</v>
      </c>
      <c r="D212" s="31">
        <v>0</v>
      </c>
      <c r="E212" s="31">
        <v>1</v>
      </c>
      <c r="F212" s="31" t="s">
        <v>605</v>
      </c>
      <c r="G212" s="31">
        <v>0</v>
      </c>
      <c r="H212" s="31">
        <v>1</v>
      </c>
      <c r="I212" s="31" t="e">
        <f t="shared" ca="1" si="0"/>
        <v>#NAME?</v>
      </c>
      <c r="L212" s="31">
        <v>0</v>
      </c>
      <c r="M212" s="31">
        <f t="shared" si="1"/>
        <v>1</v>
      </c>
    </row>
    <row r="213" spans="1:13" ht="13">
      <c r="A213" s="34" t="s">
        <v>604</v>
      </c>
      <c r="B213" s="31" t="s">
        <v>74</v>
      </c>
      <c r="C213" s="33" t="s">
        <v>444</v>
      </c>
      <c r="D213" s="31">
        <v>0</v>
      </c>
      <c r="E213" s="31">
        <v>1</v>
      </c>
      <c r="F213" s="31" t="s">
        <v>606</v>
      </c>
      <c r="G213" s="31">
        <v>0</v>
      </c>
      <c r="H213" s="31">
        <v>1</v>
      </c>
      <c r="I213" s="31" t="e">
        <f t="shared" ca="1" si="0"/>
        <v>#NAME?</v>
      </c>
      <c r="M213" s="31">
        <f t="shared" si="1"/>
        <v>0</v>
      </c>
    </row>
    <row r="214" spans="1:13" ht="13">
      <c r="A214" s="34" t="s">
        <v>607</v>
      </c>
      <c r="B214" s="31" t="s">
        <v>74</v>
      </c>
      <c r="C214" s="33" t="s">
        <v>445</v>
      </c>
      <c r="D214" s="31">
        <v>0</v>
      </c>
      <c r="E214" s="31">
        <v>0</v>
      </c>
      <c r="F214" s="31" t="s">
        <v>608</v>
      </c>
      <c r="G214" s="31">
        <v>0</v>
      </c>
      <c r="H214" s="31">
        <v>1</v>
      </c>
      <c r="I214" s="31" t="e">
        <f t="shared" ca="1" si="0"/>
        <v>#NAME?</v>
      </c>
      <c r="L214" s="31">
        <v>0</v>
      </c>
      <c r="M214" s="31">
        <f t="shared" si="1"/>
        <v>1</v>
      </c>
    </row>
    <row r="215" spans="1:13" ht="13">
      <c r="A215" s="34" t="s">
        <v>607</v>
      </c>
      <c r="B215" s="31" t="s">
        <v>74</v>
      </c>
      <c r="C215" s="33" t="s">
        <v>445</v>
      </c>
      <c r="D215" s="31">
        <v>0</v>
      </c>
      <c r="E215" s="31">
        <v>0</v>
      </c>
      <c r="F215" s="31" t="s">
        <v>609</v>
      </c>
      <c r="G215" s="31">
        <v>0</v>
      </c>
      <c r="H215" s="31">
        <v>1</v>
      </c>
      <c r="I215" s="31" t="e">
        <f t="shared" ca="1" si="0"/>
        <v>#NAME?</v>
      </c>
      <c r="M215" s="31">
        <f t="shared" si="1"/>
        <v>0</v>
      </c>
    </row>
    <row r="216" spans="1:13" ht="13">
      <c r="A216" s="34" t="s">
        <v>610</v>
      </c>
      <c r="B216" s="31" t="s">
        <v>74</v>
      </c>
      <c r="C216" s="33" t="s">
        <v>459</v>
      </c>
      <c r="D216" s="31">
        <v>0</v>
      </c>
      <c r="E216" s="31">
        <v>1</v>
      </c>
      <c r="F216" s="31" t="s">
        <v>611</v>
      </c>
      <c r="G216" s="31">
        <v>0</v>
      </c>
      <c r="H216" s="31">
        <v>1</v>
      </c>
      <c r="I216" s="31" t="e">
        <f t="shared" ca="1" si="0"/>
        <v>#NAME?</v>
      </c>
      <c r="L216" s="31">
        <v>0</v>
      </c>
      <c r="M216" s="31">
        <f t="shared" si="1"/>
        <v>1</v>
      </c>
    </row>
    <row r="217" spans="1:13" ht="13">
      <c r="A217" s="34" t="s">
        <v>612</v>
      </c>
      <c r="B217" s="31" t="s">
        <v>74</v>
      </c>
      <c r="C217" s="33" t="s">
        <v>460</v>
      </c>
      <c r="D217" s="31">
        <v>0</v>
      </c>
      <c r="E217" s="31">
        <v>1</v>
      </c>
      <c r="F217" s="31" t="s">
        <v>613</v>
      </c>
      <c r="G217" s="31">
        <v>0</v>
      </c>
      <c r="H217" s="31">
        <v>1</v>
      </c>
      <c r="I217" s="31" t="e">
        <f t="shared" ca="1" si="0"/>
        <v>#NAME?</v>
      </c>
      <c r="K217" s="31" t="s">
        <v>614</v>
      </c>
      <c r="L217" s="31">
        <v>0</v>
      </c>
      <c r="M217" s="31">
        <f t="shared" si="1"/>
        <v>1</v>
      </c>
    </row>
    <row r="218" spans="1:13" ht="13">
      <c r="A218" s="34" t="s">
        <v>612</v>
      </c>
      <c r="B218" s="31" t="s">
        <v>74</v>
      </c>
      <c r="C218" s="33" t="s">
        <v>460</v>
      </c>
      <c r="D218" s="31">
        <v>0</v>
      </c>
      <c r="E218" s="31">
        <v>1</v>
      </c>
      <c r="F218" s="31" t="s">
        <v>615</v>
      </c>
      <c r="G218" s="31">
        <v>0</v>
      </c>
      <c r="H218" s="31">
        <v>1</v>
      </c>
      <c r="I218" s="31" t="e">
        <f t="shared" ca="1" si="0"/>
        <v>#NAME?</v>
      </c>
      <c r="M218" s="31">
        <f t="shared" si="1"/>
        <v>0</v>
      </c>
    </row>
    <row r="219" spans="1:13" ht="13">
      <c r="A219" s="34" t="s">
        <v>612</v>
      </c>
      <c r="B219" s="31" t="s">
        <v>74</v>
      </c>
      <c r="C219" s="33" t="s">
        <v>460</v>
      </c>
      <c r="D219" s="31">
        <v>0</v>
      </c>
      <c r="E219" s="31">
        <v>1</v>
      </c>
      <c r="F219" s="31" t="s">
        <v>616</v>
      </c>
      <c r="G219" s="34"/>
      <c r="I219" s="31" t="str">
        <f t="shared" si="0"/>
        <v/>
      </c>
      <c r="M219" s="31">
        <f t="shared" si="1"/>
        <v>0</v>
      </c>
    </row>
    <row r="220" spans="1:13" ht="13">
      <c r="A220" s="34" t="s">
        <v>617</v>
      </c>
      <c r="B220" s="31" t="s">
        <v>74</v>
      </c>
      <c r="C220" s="33" t="s">
        <v>461</v>
      </c>
      <c r="D220" s="31">
        <v>0</v>
      </c>
      <c r="E220" s="31">
        <v>0</v>
      </c>
      <c r="F220" s="31" t="s">
        <v>618</v>
      </c>
      <c r="G220" s="31">
        <v>0</v>
      </c>
      <c r="H220" s="31">
        <v>1</v>
      </c>
      <c r="I220" s="31" t="e">
        <f t="shared" ca="1" si="0"/>
        <v>#NAME?</v>
      </c>
      <c r="L220" s="31">
        <v>0</v>
      </c>
      <c r="M220" s="31">
        <f t="shared" si="1"/>
        <v>1</v>
      </c>
    </row>
    <row r="221" spans="1:13" ht="13">
      <c r="A221" s="34" t="s">
        <v>617</v>
      </c>
      <c r="B221" s="31" t="s">
        <v>74</v>
      </c>
      <c r="C221" s="33" t="s">
        <v>461</v>
      </c>
      <c r="D221" s="31">
        <v>0</v>
      </c>
      <c r="E221" s="31">
        <v>0</v>
      </c>
      <c r="F221" s="31" t="s">
        <v>619</v>
      </c>
      <c r="G221" s="31">
        <v>0</v>
      </c>
      <c r="H221" s="31">
        <v>1</v>
      </c>
      <c r="I221" s="31" t="e">
        <f t="shared" ca="1" si="0"/>
        <v>#NAME?</v>
      </c>
      <c r="M221" s="31">
        <f t="shared" si="1"/>
        <v>0</v>
      </c>
    </row>
    <row r="222" spans="1:13" ht="13">
      <c r="A222" s="34" t="s">
        <v>620</v>
      </c>
      <c r="B222" s="31" t="s">
        <v>74</v>
      </c>
      <c r="C222" s="33" t="s">
        <v>482</v>
      </c>
      <c r="D222" s="31">
        <v>0</v>
      </c>
      <c r="E222" s="31">
        <v>0</v>
      </c>
      <c r="F222" s="31" t="s">
        <v>621</v>
      </c>
      <c r="G222" s="31">
        <v>0</v>
      </c>
      <c r="H222" s="31">
        <v>1</v>
      </c>
      <c r="I222" s="31" t="e">
        <f t="shared" ca="1" si="0"/>
        <v>#NAME?</v>
      </c>
      <c r="L222" s="31">
        <v>0</v>
      </c>
      <c r="M222" s="31">
        <f t="shared" si="1"/>
        <v>1</v>
      </c>
    </row>
    <row r="223" spans="1:13" ht="13">
      <c r="A223" s="34" t="s">
        <v>620</v>
      </c>
      <c r="B223" s="31" t="s">
        <v>74</v>
      </c>
      <c r="C223" s="33" t="s">
        <v>482</v>
      </c>
      <c r="D223" s="31">
        <v>0</v>
      </c>
      <c r="E223" s="31">
        <v>0</v>
      </c>
      <c r="F223" s="31" t="s">
        <v>622</v>
      </c>
      <c r="G223" s="31">
        <v>0</v>
      </c>
      <c r="H223" s="31">
        <v>1</v>
      </c>
      <c r="I223" s="31" t="e">
        <f t="shared" ca="1" si="0"/>
        <v>#NAME?</v>
      </c>
      <c r="M223" s="31">
        <f t="shared" si="1"/>
        <v>0</v>
      </c>
    </row>
    <row r="224" spans="1:13" ht="13">
      <c r="A224" s="34" t="s">
        <v>623</v>
      </c>
      <c r="B224" s="31" t="s">
        <v>74</v>
      </c>
      <c r="C224" s="33" t="s">
        <v>481</v>
      </c>
      <c r="D224" s="31">
        <v>0</v>
      </c>
      <c r="E224" s="31">
        <v>1</v>
      </c>
      <c r="F224" s="31" t="s">
        <v>624</v>
      </c>
      <c r="G224" s="31">
        <v>0</v>
      </c>
      <c r="H224" s="31">
        <v>1</v>
      </c>
      <c r="I224" s="31" t="e">
        <f t="shared" ca="1" si="0"/>
        <v>#NAME?</v>
      </c>
      <c r="L224" s="31">
        <v>0</v>
      </c>
      <c r="M224" s="31">
        <f t="shared" si="1"/>
        <v>1</v>
      </c>
    </row>
    <row r="225" spans="1:13" ht="13">
      <c r="A225" s="34" t="s">
        <v>623</v>
      </c>
      <c r="B225" s="31" t="s">
        <v>74</v>
      </c>
      <c r="C225" s="33" t="s">
        <v>481</v>
      </c>
      <c r="D225" s="31">
        <v>0</v>
      </c>
      <c r="E225" s="31">
        <v>1</v>
      </c>
      <c r="F225" s="31" t="s">
        <v>625</v>
      </c>
      <c r="G225" s="31">
        <v>0</v>
      </c>
      <c r="H225" s="31">
        <v>1</v>
      </c>
      <c r="I225" s="31" t="e">
        <f t="shared" ca="1" si="0"/>
        <v>#NAME?</v>
      </c>
      <c r="M225" s="31">
        <f t="shared" si="1"/>
        <v>0</v>
      </c>
    </row>
    <row r="226" spans="1:13" ht="13">
      <c r="A226" s="34" t="s">
        <v>626</v>
      </c>
      <c r="B226" s="31" t="s">
        <v>74</v>
      </c>
      <c r="C226" s="33" t="s">
        <v>480</v>
      </c>
      <c r="D226" s="31">
        <v>0</v>
      </c>
      <c r="E226" s="31">
        <v>1</v>
      </c>
      <c r="F226" s="31" t="s">
        <v>627</v>
      </c>
      <c r="G226" s="31">
        <v>0</v>
      </c>
      <c r="H226" s="31">
        <v>1</v>
      </c>
      <c r="I226" s="31" t="e">
        <f t="shared" ca="1" si="0"/>
        <v>#NAME?</v>
      </c>
      <c r="K226" s="31" t="s">
        <v>628</v>
      </c>
      <c r="L226" s="31">
        <v>0</v>
      </c>
      <c r="M226" s="31">
        <f t="shared" si="1"/>
        <v>1</v>
      </c>
    </row>
    <row r="227" spans="1:13" ht="13">
      <c r="A227" s="34" t="s">
        <v>629</v>
      </c>
      <c r="B227" s="31" t="s">
        <v>74</v>
      </c>
      <c r="C227" s="33" t="s">
        <v>466</v>
      </c>
      <c r="D227" s="31">
        <v>0</v>
      </c>
      <c r="E227" s="31">
        <v>0</v>
      </c>
      <c r="F227" s="31" t="s">
        <v>630</v>
      </c>
      <c r="G227" s="31">
        <v>0</v>
      </c>
      <c r="H227" s="31">
        <v>1</v>
      </c>
      <c r="I227" s="31" t="e">
        <f t="shared" ca="1" si="0"/>
        <v>#NAME?</v>
      </c>
      <c r="L227" s="31">
        <v>1</v>
      </c>
      <c r="M227" s="31">
        <f t="shared" si="1"/>
        <v>1</v>
      </c>
    </row>
    <row r="228" spans="1:13" ht="13">
      <c r="A228" s="34" t="s">
        <v>629</v>
      </c>
      <c r="B228" s="31" t="s">
        <v>74</v>
      </c>
      <c r="C228" s="33" t="s">
        <v>466</v>
      </c>
      <c r="D228" s="31">
        <v>0</v>
      </c>
      <c r="E228" s="31">
        <v>0</v>
      </c>
      <c r="F228" s="31" t="s">
        <v>631</v>
      </c>
      <c r="G228" s="31">
        <v>0</v>
      </c>
      <c r="H228" s="31">
        <v>1</v>
      </c>
      <c r="I228" s="31" t="e">
        <f t="shared" ca="1" si="0"/>
        <v>#NAME?</v>
      </c>
      <c r="M228" s="31">
        <f t="shared" si="1"/>
        <v>0</v>
      </c>
    </row>
    <row r="229" spans="1:13" ht="13">
      <c r="A229" s="34" t="s">
        <v>632</v>
      </c>
      <c r="B229" s="31" t="s">
        <v>74</v>
      </c>
      <c r="C229" s="33" t="s">
        <v>465</v>
      </c>
      <c r="D229" s="31">
        <v>0</v>
      </c>
      <c r="E229" s="31">
        <v>0</v>
      </c>
      <c r="F229" s="31" t="s">
        <v>633</v>
      </c>
      <c r="G229" s="31">
        <v>0</v>
      </c>
      <c r="H229" s="31">
        <v>1</v>
      </c>
      <c r="I229" s="31" t="e">
        <f t="shared" ca="1" si="0"/>
        <v>#NAME?</v>
      </c>
      <c r="L229" s="31">
        <v>0</v>
      </c>
      <c r="M229" s="31">
        <f t="shared" si="1"/>
        <v>1</v>
      </c>
    </row>
    <row r="230" spans="1:13" ht="13">
      <c r="A230" s="34" t="s">
        <v>632</v>
      </c>
      <c r="B230" s="31" t="s">
        <v>74</v>
      </c>
      <c r="C230" s="33" t="s">
        <v>465</v>
      </c>
      <c r="D230" s="31">
        <v>0</v>
      </c>
      <c r="E230" s="31">
        <v>0</v>
      </c>
      <c r="F230" s="31" t="s">
        <v>634</v>
      </c>
      <c r="G230" s="31">
        <v>0</v>
      </c>
      <c r="H230" s="31">
        <v>1</v>
      </c>
      <c r="I230" s="31" t="e">
        <f t="shared" ca="1" si="0"/>
        <v>#NAME?</v>
      </c>
      <c r="M230" s="31">
        <f t="shared" si="1"/>
        <v>0</v>
      </c>
    </row>
    <row r="231" spans="1:13" ht="13">
      <c r="A231" s="34" t="s">
        <v>632</v>
      </c>
      <c r="B231" s="31" t="s">
        <v>74</v>
      </c>
      <c r="C231" s="33" t="s">
        <v>465</v>
      </c>
      <c r="D231" s="31">
        <v>0</v>
      </c>
      <c r="E231" s="31">
        <v>0</v>
      </c>
      <c r="F231" s="31" t="s">
        <v>635</v>
      </c>
      <c r="G231" s="31">
        <v>0</v>
      </c>
      <c r="H231" s="31">
        <v>1</v>
      </c>
      <c r="I231" s="31" t="e">
        <f t="shared" ca="1" si="0"/>
        <v>#NAME?</v>
      </c>
      <c r="M231" s="31">
        <f t="shared" si="1"/>
        <v>0</v>
      </c>
    </row>
    <row r="232" spans="1:13" ht="13">
      <c r="A232" s="34" t="s">
        <v>636</v>
      </c>
      <c r="B232" s="31" t="s">
        <v>74</v>
      </c>
      <c r="C232" s="33" t="s">
        <v>464</v>
      </c>
      <c r="D232" s="31">
        <v>0</v>
      </c>
      <c r="E232" s="31">
        <v>1</v>
      </c>
      <c r="F232" s="31" t="s">
        <v>637</v>
      </c>
      <c r="G232" s="31">
        <v>0</v>
      </c>
      <c r="H232" s="31">
        <v>1</v>
      </c>
      <c r="I232" s="31" t="e">
        <f t="shared" ca="1" si="0"/>
        <v>#NAME?</v>
      </c>
      <c r="L232" s="31">
        <v>0</v>
      </c>
      <c r="M232" s="31">
        <f t="shared" si="1"/>
        <v>1</v>
      </c>
    </row>
    <row r="233" spans="1:13" ht="13">
      <c r="A233" s="34" t="s">
        <v>636</v>
      </c>
      <c r="B233" s="31" t="s">
        <v>74</v>
      </c>
      <c r="C233" s="33" t="s">
        <v>464</v>
      </c>
      <c r="D233" s="31">
        <v>0</v>
      </c>
      <c r="E233" s="31">
        <v>1</v>
      </c>
      <c r="F233" s="31" t="s">
        <v>638</v>
      </c>
      <c r="I233" s="31" t="str">
        <f t="shared" si="0"/>
        <v/>
      </c>
      <c r="M233" s="31">
        <f t="shared" si="1"/>
        <v>0</v>
      </c>
    </row>
    <row r="234" spans="1:13" ht="13">
      <c r="A234" s="34" t="s">
        <v>636</v>
      </c>
      <c r="B234" s="31" t="s">
        <v>74</v>
      </c>
      <c r="C234" s="33" t="s">
        <v>464</v>
      </c>
      <c r="D234" s="31">
        <v>0</v>
      </c>
      <c r="E234" s="31">
        <v>1</v>
      </c>
      <c r="F234" s="31" t="s">
        <v>639</v>
      </c>
      <c r="I234" s="31" t="str">
        <f t="shared" si="0"/>
        <v/>
      </c>
      <c r="M234" s="31">
        <f t="shared" si="1"/>
        <v>0</v>
      </c>
    </row>
    <row r="235" spans="1:13" ht="13">
      <c r="A235" s="34" t="s">
        <v>640</v>
      </c>
      <c r="B235" s="31" t="s">
        <v>74</v>
      </c>
      <c r="C235" s="33" t="s">
        <v>463</v>
      </c>
      <c r="D235" s="31">
        <v>0</v>
      </c>
      <c r="E235" s="31">
        <v>1</v>
      </c>
      <c r="F235" s="31" t="s">
        <v>641</v>
      </c>
      <c r="G235" s="31">
        <v>0</v>
      </c>
      <c r="H235" s="31">
        <v>1</v>
      </c>
      <c r="I235" s="31" t="e">
        <f t="shared" ca="1" si="0"/>
        <v>#NAME?</v>
      </c>
      <c r="L235" s="31">
        <v>0</v>
      </c>
      <c r="M235" s="31">
        <f t="shared" si="1"/>
        <v>1</v>
      </c>
    </row>
    <row r="236" spans="1:13" ht="13">
      <c r="A236" s="34" t="s">
        <v>640</v>
      </c>
      <c r="B236" s="31" t="s">
        <v>74</v>
      </c>
      <c r="C236" s="33" t="s">
        <v>463</v>
      </c>
      <c r="D236" s="31">
        <v>0</v>
      </c>
      <c r="E236" s="31">
        <v>1</v>
      </c>
      <c r="F236" s="31" t="s">
        <v>642</v>
      </c>
      <c r="G236" s="31">
        <v>0</v>
      </c>
      <c r="H236" s="31">
        <v>1</v>
      </c>
      <c r="I236" s="31" t="e">
        <f t="shared" ca="1" si="0"/>
        <v>#NAME?</v>
      </c>
      <c r="M236" s="31">
        <f t="shared" si="1"/>
        <v>0</v>
      </c>
    </row>
    <row r="237" spans="1:13" ht="13">
      <c r="A237" s="34" t="s">
        <v>643</v>
      </c>
      <c r="B237" s="31" t="s">
        <v>74</v>
      </c>
      <c r="C237" s="33" t="s">
        <v>462</v>
      </c>
      <c r="D237" s="31">
        <v>0</v>
      </c>
      <c r="E237" s="31">
        <v>0</v>
      </c>
      <c r="F237" s="31" t="s">
        <v>644</v>
      </c>
      <c r="G237" s="31">
        <v>0</v>
      </c>
      <c r="H237" s="31">
        <v>1</v>
      </c>
      <c r="I237" s="31" t="e">
        <f t="shared" ca="1" si="0"/>
        <v>#NAME?</v>
      </c>
      <c r="L237" s="31">
        <v>1</v>
      </c>
      <c r="M237" s="31">
        <f t="shared" si="1"/>
        <v>1</v>
      </c>
    </row>
    <row r="238" spans="1:13" ht="13">
      <c r="A238" s="34" t="s">
        <v>643</v>
      </c>
      <c r="B238" s="31" t="s">
        <v>74</v>
      </c>
      <c r="C238" s="33" t="s">
        <v>462</v>
      </c>
      <c r="D238" s="31">
        <v>0</v>
      </c>
      <c r="E238" s="31">
        <v>0</v>
      </c>
      <c r="F238" s="31" t="s">
        <v>645</v>
      </c>
      <c r="G238" s="31">
        <v>0</v>
      </c>
      <c r="H238" s="31">
        <v>1</v>
      </c>
      <c r="I238" s="31" t="e">
        <f t="shared" ca="1" si="0"/>
        <v>#NAME?</v>
      </c>
      <c r="M238" s="31">
        <f t="shared" si="1"/>
        <v>0</v>
      </c>
    </row>
    <row r="239" spans="1:13" ht="13">
      <c r="A239" s="34" t="s">
        <v>646</v>
      </c>
      <c r="B239" s="31" t="s">
        <v>74</v>
      </c>
      <c r="C239" s="33" t="s">
        <v>483</v>
      </c>
      <c r="D239" s="31">
        <v>0</v>
      </c>
      <c r="E239" s="31">
        <v>0</v>
      </c>
      <c r="F239" s="31" t="s">
        <v>647</v>
      </c>
      <c r="G239" s="31">
        <v>0</v>
      </c>
      <c r="H239" s="31">
        <v>0</v>
      </c>
      <c r="I239" s="31" t="e">
        <f t="shared" ca="1" si="0"/>
        <v>#NAME?</v>
      </c>
      <c r="L239" s="31">
        <v>0</v>
      </c>
      <c r="M239" s="31">
        <f t="shared" si="1"/>
        <v>1</v>
      </c>
    </row>
    <row r="240" spans="1:13" ht="13">
      <c r="A240" s="34" t="s">
        <v>646</v>
      </c>
      <c r="B240" s="31" t="s">
        <v>74</v>
      </c>
      <c r="C240" s="33" t="s">
        <v>483</v>
      </c>
      <c r="D240" s="31">
        <v>0</v>
      </c>
      <c r="E240" s="31">
        <v>0</v>
      </c>
      <c r="F240" s="31" t="s">
        <v>648</v>
      </c>
      <c r="G240" s="31">
        <v>0</v>
      </c>
      <c r="H240" s="31">
        <v>0</v>
      </c>
      <c r="I240" s="31" t="e">
        <f t="shared" ca="1" si="0"/>
        <v>#NAME?</v>
      </c>
      <c r="M240" s="31">
        <f t="shared" si="1"/>
        <v>0</v>
      </c>
    </row>
    <row r="241" spans="1:13" ht="13">
      <c r="A241" s="34" t="s">
        <v>649</v>
      </c>
      <c r="B241" s="31" t="s">
        <v>74</v>
      </c>
      <c r="C241" s="33" t="s">
        <v>484</v>
      </c>
      <c r="D241" s="31">
        <v>0</v>
      </c>
      <c r="E241" s="31">
        <v>0</v>
      </c>
      <c r="F241" s="31" t="s">
        <v>650</v>
      </c>
      <c r="G241" s="31">
        <v>0</v>
      </c>
      <c r="H241" s="31">
        <v>0</v>
      </c>
      <c r="I241" s="31" t="e">
        <f t="shared" ca="1" si="0"/>
        <v>#NAME?</v>
      </c>
      <c r="K241" s="31" t="s">
        <v>651</v>
      </c>
      <c r="L241" s="31">
        <v>0</v>
      </c>
      <c r="M241" s="31">
        <f t="shared" si="1"/>
        <v>1</v>
      </c>
    </row>
    <row r="242" spans="1:13" ht="13">
      <c r="A242" s="34" t="s">
        <v>649</v>
      </c>
      <c r="B242" s="31" t="s">
        <v>74</v>
      </c>
      <c r="C242" s="33" t="s">
        <v>484</v>
      </c>
      <c r="D242" s="31">
        <v>0</v>
      </c>
      <c r="E242" s="31">
        <v>0</v>
      </c>
      <c r="F242" s="31" t="s">
        <v>652</v>
      </c>
      <c r="G242" s="31">
        <v>0</v>
      </c>
      <c r="H242" s="31">
        <v>0</v>
      </c>
      <c r="I242" s="31" t="e">
        <f t="shared" ca="1" si="0"/>
        <v>#NAME?</v>
      </c>
      <c r="M242" s="31">
        <f t="shared" si="1"/>
        <v>0</v>
      </c>
    </row>
    <row r="243" spans="1:13" ht="13">
      <c r="A243" s="34" t="s">
        <v>653</v>
      </c>
      <c r="B243" s="31" t="s">
        <v>74</v>
      </c>
      <c r="C243" s="33" t="s">
        <v>485</v>
      </c>
      <c r="D243" s="31">
        <v>0</v>
      </c>
      <c r="E243" s="31">
        <v>0</v>
      </c>
      <c r="F243" s="31" t="s">
        <v>654</v>
      </c>
      <c r="G243" s="31">
        <v>0</v>
      </c>
      <c r="H243" s="31">
        <v>1</v>
      </c>
      <c r="I243" s="31" t="e">
        <f t="shared" ca="1" si="0"/>
        <v>#NAME?</v>
      </c>
      <c r="K243" s="31" t="s">
        <v>655</v>
      </c>
      <c r="L243" s="31">
        <v>0</v>
      </c>
      <c r="M243" s="31">
        <f t="shared" si="1"/>
        <v>1</v>
      </c>
    </row>
    <row r="244" spans="1:13" ht="13">
      <c r="A244" s="34" t="s">
        <v>656</v>
      </c>
      <c r="B244" s="31" t="s">
        <v>74</v>
      </c>
      <c r="C244" s="33" t="s">
        <v>486</v>
      </c>
      <c r="D244" s="31">
        <v>0</v>
      </c>
      <c r="E244" s="31">
        <v>1</v>
      </c>
      <c r="F244" s="31" t="s">
        <v>657</v>
      </c>
      <c r="G244" s="31">
        <v>0</v>
      </c>
      <c r="H244" s="31">
        <v>1</v>
      </c>
      <c r="I244" s="31" t="e">
        <f t="shared" ca="1" si="0"/>
        <v>#NAME?</v>
      </c>
      <c r="L244" s="31">
        <v>0</v>
      </c>
      <c r="M244" s="31">
        <f t="shared" si="1"/>
        <v>1</v>
      </c>
    </row>
    <row r="245" spans="1:13" ht="13">
      <c r="A245" s="34" t="s">
        <v>656</v>
      </c>
      <c r="B245" s="31" t="s">
        <v>74</v>
      </c>
      <c r="C245" s="33" t="s">
        <v>486</v>
      </c>
      <c r="D245" s="31">
        <v>0</v>
      </c>
      <c r="E245" s="31">
        <v>1</v>
      </c>
      <c r="F245" s="31" t="s">
        <v>658</v>
      </c>
      <c r="G245" s="31">
        <v>0</v>
      </c>
      <c r="H245" s="31">
        <v>1</v>
      </c>
      <c r="I245" s="31" t="e">
        <f t="shared" ca="1" si="0"/>
        <v>#NAME?</v>
      </c>
      <c r="M245" s="31">
        <f t="shared" si="1"/>
        <v>0</v>
      </c>
    </row>
    <row r="246" spans="1:13" ht="13">
      <c r="A246" s="34" t="s">
        <v>659</v>
      </c>
      <c r="B246" s="31" t="s">
        <v>74</v>
      </c>
      <c r="C246" s="33" t="s">
        <v>487</v>
      </c>
      <c r="D246" s="31">
        <v>0</v>
      </c>
      <c r="E246" s="31">
        <v>1</v>
      </c>
      <c r="F246" s="31" t="s">
        <v>660</v>
      </c>
      <c r="G246" s="31">
        <v>0</v>
      </c>
      <c r="H246" s="31">
        <v>1</v>
      </c>
      <c r="I246" s="31" t="e">
        <f t="shared" ca="1" si="0"/>
        <v>#NAME?</v>
      </c>
      <c r="L246" s="31">
        <v>0</v>
      </c>
      <c r="M246" s="31">
        <f t="shared" si="1"/>
        <v>1</v>
      </c>
    </row>
    <row r="247" spans="1:13" ht="13">
      <c r="A247" s="34" t="s">
        <v>659</v>
      </c>
      <c r="B247" s="31" t="s">
        <v>74</v>
      </c>
      <c r="C247" s="33" t="s">
        <v>487</v>
      </c>
      <c r="D247" s="31">
        <v>0</v>
      </c>
      <c r="E247" s="31">
        <v>1</v>
      </c>
      <c r="F247" s="31" t="s">
        <v>661</v>
      </c>
      <c r="G247" s="31">
        <v>0</v>
      </c>
      <c r="H247" s="31">
        <v>1</v>
      </c>
      <c r="I247" s="31" t="e">
        <f t="shared" ca="1" si="0"/>
        <v>#NAME?</v>
      </c>
      <c r="M247" s="31">
        <f t="shared" si="1"/>
        <v>0</v>
      </c>
    </row>
    <row r="248" spans="1:13" ht="13">
      <c r="A248" s="34" t="s">
        <v>659</v>
      </c>
      <c r="B248" s="31" t="s">
        <v>74</v>
      </c>
      <c r="C248" s="33" t="s">
        <v>487</v>
      </c>
      <c r="D248" s="31">
        <v>0</v>
      </c>
      <c r="E248" s="31">
        <v>1</v>
      </c>
      <c r="F248" s="31" t="s">
        <v>662</v>
      </c>
      <c r="G248" s="31">
        <v>0</v>
      </c>
      <c r="H248" s="31">
        <v>1</v>
      </c>
      <c r="I248" s="31" t="e">
        <f t="shared" ca="1" si="0"/>
        <v>#NAME?</v>
      </c>
      <c r="M248" s="31">
        <f t="shared" si="1"/>
        <v>0</v>
      </c>
    </row>
    <row r="249" spans="1:13" ht="13">
      <c r="A249" s="34" t="s">
        <v>663</v>
      </c>
      <c r="B249" s="31" t="s">
        <v>74</v>
      </c>
      <c r="C249" s="33" t="s">
        <v>446</v>
      </c>
      <c r="D249" s="31">
        <v>0</v>
      </c>
      <c r="E249" s="34">
        <v>0</v>
      </c>
      <c r="F249" s="31" t="s">
        <v>664</v>
      </c>
      <c r="G249" s="31">
        <v>0</v>
      </c>
      <c r="H249" s="31">
        <v>1</v>
      </c>
      <c r="I249" s="31" t="e">
        <f t="shared" ca="1" si="0"/>
        <v>#NAME?</v>
      </c>
      <c r="L249" s="31">
        <v>0</v>
      </c>
      <c r="M249" s="31">
        <f t="shared" si="1"/>
        <v>1</v>
      </c>
    </row>
    <row r="250" spans="1:13" ht="13">
      <c r="A250" s="34" t="s">
        <v>663</v>
      </c>
      <c r="B250" s="31" t="s">
        <v>74</v>
      </c>
      <c r="C250" s="33" t="s">
        <v>446</v>
      </c>
      <c r="D250" s="31">
        <v>0</v>
      </c>
      <c r="E250" s="34">
        <v>0</v>
      </c>
      <c r="F250" s="31" t="s">
        <v>657</v>
      </c>
      <c r="G250" s="31">
        <v>0</v>
      </c>
      <c r="H250" s="31">
        <v>1</v>
      </c>
      <c r="I250" s="31" t="e">
        <f t="shared" ca="1" si="0"/>
        <v>#NAME?</v>
      </c>
      <c r="M250" s="31">
        <f t="shared" si="1"/>
        <v>0</v>
      </c>
    </row>
    <row r="251" spans="1:13" ht="13">
      <c r="A251" s="34" t="s">
        <v>665</v>
      </c>
      <c r="B251" s="31" t="s">
        <v>74</v>
      </c>
      <c r="C251" s="33" t="s">
        <v>447</v>
      </c>
      <c r="D251" s="31">
        <v>0</v>
      </c>
      <c r="E251" s="34">
        <v>0</v>
      </c>
      <c r="F251" s="31" t="s">
        <v>666</v>
      </c>
      <c r="G251" s="31">
        <v>0</v>
      </c>
      <c r="H251" s="31">
        <v>1</v>
      </c>
      <c r="I251" s="31" t="e">
        <f t="shared" ca="1" si="0"/>
        <v>#NAME?</v>
      </c>
      <c r="L251" s="31">
        <v>1</v>
      </c>
      <c r="M251" s="31">
        <f t="shared" si="1"/>
        <v>1</v>
      </c>
    </row>
    <row r="252" spans="1:13" ht="13">
      <c r="A252" s="34" t="s">
        <v>665</v>
      </c>
      <c r="B252" s="31" t="s">
        <v>74</v>
      </c>
      <c r="C252" s="33" t="s">
        <v>447</v>
      </c>
      <c r="D252" s="31">
        <v>0</v>
      </c>
      <c r="E252" s="34">
        <v>0</v>
      </c>
      <c r="F252" s="31" t="s">
        <v>667</v>
      </c>
      <c r="G252" s="31">
        <v>0</v>
      </c>
      <c r="H252" s="31">
        <v>1</v>
      </c>
      <c r="I252" s="31" t="e">
        <f t="shared" ca="1" si="0"/>
        <v>#NAME?</v>
      </c>
      <c r="M252" s="31">
        <f t="shared" si="1"/>
        <v>0</v>
      </c>
    </row>
    <row r="253" spans="1:13" ht="13">
      <c r="A253" s="34" t="s">
        <v>665</v>
      </c>
      <c r="B253" s="31" t="s">
        <v>74</v>
      </c>
      <c r="C253" s="33" t="s">
        <v>447</v>
      </c>
      <c r="D253" s="31">
        <v>0</v>
      </c>
      <c r="E253" s="34">
        <v>0</v>
      </c>
      <c r="F253" s="31" t="s">
        <v>345</v>
      </c>
      <c r="G253" s="31">
        <v>0</v>
      </c>
      <c r="H253" s="31">
        <v>1</v>
      </c>
      <c r="I253" s="31" t="e">
        <f t="shared" ca="1" si="0"/>
        <v>#NAME?</v>
      </c>
      <c r="M253" s="31">
        <f t="shared" si="1"/>
        <v>0</v>
      </c>
    </row>
    <row r="254" spans="1:13" ht="13">
      <c r="A254" s="34" t="s">
        <v>668</v>
      </c>
      <c r="B254" s="31" t="s">
        <v>74</v>
      </c>
      <c r="C254" s="33" t="s">
        <v>448</v>
      </c>
      <c r="D254" s="31">
        <v>0</v>
      </c>
      <c r="E254" s="31">
        <v>1</v>
      </c>
      <c r="F254" s="31" t="s">
        <v>669</v>
      </c>
      <c r="G254" s="31">
        <v>0</v>
      </c>
      <c r="H254" s="31">
        <v>1</v>
      </c>
      <c r="I254" s="31" t="e">
        <f t="shared" ca="1" si="0"/>
        <v>#NAME?</v>
      </c>
      <c r="L254" s="31">
        <v>0</v>
      </c>
      <c r="M254" s="31">
        <f t="shared" si="1"/>
        <v>1</v>
      </c>
    </row>
    <row r="255" spans="1:13" ht="13">
      <c r="A255" s="34" t="s">
        <v>668</v>
      </c>
      <c r="B255" s="31" t="s">
        <v>74</v>
      </c>
      <c r="C255" s="33" t="s">
        <v>448</v>
      </c>
      <c r="D255" s="31">
        <v>0</v>
      </c>
      <c r="E255" s="31">
        <v>1</v>
      </c>
      <c r="F255" s="31" t="s">
        <v>670</v>
      </c>
      <c r="G255" s="31">
        <v>0</v>
      </c>
      <c r="H255" s="31">
        <v>1</v>
      </c>
      <c r="I255" s="31" t="e">
        <f t="shared" ca="1" si="0"/>
        <v>#NAME?</v>
      </c>
      <c r="M255" s="31">
        <f t="shared" si="1"/>
        <v>0</v>
      </c>
    </row>
    <row r="256" spans="1:13" ht="13">
      <c r="A256" s="34" t="s">
        <v>668</v>
      </c>
      <c r="B256" s="31" t="s">
        <v>74</v>
      </c>
      <c r="C256" s="33" t="s">
        <v>448</v>
      </c>
      <c r="D256" s="31">
        <v>0</v>
      </c>
      <c r="E256" s="31">
        <v>1</v>
      </c>
      <c r="F256" s="31" t="s">
        <v>671</v>
      </c>
      <c r="G256" s="31">
        <v>0</v>
      </c>
      <c r="H256" s="31">
        <v>1</v>
      </c>
      <c r="I256" s="31" t="e">
        <f t="shared" ca="1" si="0"/>
        <v>#NAME?</v>
      </c>
      <c r="M256" s="31">
        <f t="shared" si="1"/>
        <v>0</v>
      </c>
    </row>
    <row r="257" spans="1:13" ht="13">
      <c r="A257" s="34" t="s">
        <v>672</v>
      </c>
      <c r="B257" s="31" t="s">
        <v>74</v>
      </c>
      <c r="C257" s="33" t="s">
        <v>449</v>
      </c>
      <c r="D257" s="31">
        <v>0</v>
      </c>
      <c r="E257" s="31">
        <v>0</v>
      </c>
      <c r="F257" s="31" t="s">
        <v>673</v>
      </c>
      <c r="G257" s="31">
        <v>0</v>
      </c>
      <c r="H257" s="31">
        <v>1</v>
      </c>
      <c r="I257" s="31" t="e">
        <f t="shared" ca="1" si="0"/>
        <v>#NAME?</v>
      </c>
      <c r="K257" s="31" t="s">
        <v>674</v>
      </c>
      <c r="L257" s="31">
        <v>0</v>
      </c>
      <c r="M257" s="31">
        <f t="shared" si="1"/>
        <v>1</v>
      </c>
    </row>
    <row r="258" spans="1:13" ht="13">
      <c r="A258" s="34" t="s">
        <v>672</v>
      </c>
      <c r="B258" s="31" t="s">
        <v>74</v>
      </c>
      <c r="C258" s="33" t="s">
        <v>449</v>
      </c>
      <c r="D258" s="31">
        <v>0</v>
      </c>
      <c r="E258" s="31">
        <v>0</v>
      </c>
      <c r="F258" s="31" t="s">
        <v>499</v>
      </c>
      <c r="G258" s="31">
        <v>0</v>
      </c>
      <c r="H258" s="31">
        <v>1</v>
      </c>
      <c r="I258" s="31" t="e">
        <f t="shared" ca="1" si="0"/>
        <v>#NAME?</v>
      </c>
      <c r="M258" s="31">
        <f t="shared" si="1"/>
        <v>0</v>
      </c>
    </row>
    <row r="259" spans="1:13" ht="13">
      <c r="A259" s="34" t="s">
        <v>675</v>
      </c>
      <c r="B259" s="31" t="s">
        <v>74</v>
      </c>
      <c r="C259" s="33" t="s">
        <v>450</v>
      </c>
      <c r="D259" s="31">
        <v>0</v>
      </c>
      <c r="E259" s="31">
        <v>0</v>
      </c>
      <c r="F259" s="31" t="s">
        <v>676</v>
      </c>
      <c r="G259" s="31">
        <v>0</v>
      </c>
      <c r="H259" s="31">
        <v>1</v>
      </c>
      <c r="I259" s="31" t="e">
        <f t="shared" ca="1" si="0"/>
        <v>#NAME?</v>
      </c>
      <c r="K259" s="31" t="s">
        <v>677</v>
      </c>
      <c r="L259" s="31">
        <v>1</v>
      </c>
      <c r="M259" s="31">
        <f t="shared" si="1"/>
        <v>1</v>
      </c>
    </row>
    <row r="260" spans="1:13" ht="13">
      <c r="A260" s="34" t="s">
        <v>675</v>
      </c>
      <c r="B260" s="31" t="s">
        <v>74</v>
      </c>
      <c r="C260" s="33" t="s">
        <v>450</v>
      </c>
      <c r="D260" s="31">
        <v>0</v>
      </c>
      <c r="E260" s="31">
        <v>0</v>
      </c>
      <c r="F260" s="31" t="s">
        <v>635</v>
      </c>
      <c r="G260" s="31">
        <v>0</v>
      </c>
      <c r="H260" s="31">
        <v>1</v>
      </c>
      <c r="I260" s="31" t="e">
        <f t="shared" ca="1" si="0"/>
        <v>#NAME?</v>
      </c>
      <c r="M260" s="31">
        <f t="shared" si="1"/>
        <v>0</v>
      </c>
    </row>
    <row r="261" spans="1:13" ht="13">
      <c r="A261" s="34" t="s">
        <v>675</v>
      </c>
      <c r="B261" s="31" t="s">
        <v>74</v>
      </c>
      <c r="C261" s="33" t="s">
        <v>450</v>
      </c>
      <c r="D261" s="31">
        <v>0</v>
      </c>
      <c r="E261" s="31">
        <v>0</v>
      </c>
      <c r="F261" s="31" t="s">
        <v>633</v>
      </c>
      <c r="G261" s="31">
        <v>0</v>
      </c>
      <c r="H261" s="31">
        <v>1</v>
      </c>
      <c r="I261" s="31" t="e">
        <f t="shared" ca="1" si="0"/>
        <v>#NAME?</v>
      </c>
      <c r="M261" s="31">
        <f t="shared" si="1"/>
        <v>0</v>
      </c>
    </row>
    <row r="262" spans="1:13" ht="13">
      <c r="A262" s="34" t="s">
        <v>675</v>
      </c>
      <c r="B262" s="31" t="s">
        <v>74</v>
      </c>
      <c r="C262" s="33" t="s">
        <v>450</v>
      </c>
      <c r="D262" s="31">
        <v>0</v>
      </c>
      <c r="E262" s="31">
        <v>0</v>
      </c>
      <c r="F262" s="31" t="s">
        <v>634</v>
      </c>
      <c r="G262" s="31">
        <v>0</v>
      </c>
      <c r="H262" s="31">
        <v>1</v>
      </c>
      <c r="I262" s="31" t="e">
        <f t="shared" ca="1" si="0"/>
        <v>#NAME?</v>
      </c>
      <c r="M262" s="31">
        <f t="shared" si="1"/>
        <v>0</v>
      </c>
    </row>
    <row r="263" spans="1:13" ht="13">
      <c r="A263" s="34" t="s">
        <v>678</v>
      </c>
      <c r="B263" s="31" t="s">
        <v>74</v>
      </c>
      <c r="C263" s="33" t="s">
        <v>451</v>
      </c>
      <c r="D263" s="31">
        <v>0</v>
      </c>
      <c r="E263" s="31">
        <v>0</v>
      </c>
      <c r="F263" s="31" t="s">
        <v>679</v>
      </c>
      <c r="G263" s="31">
        <v>0</v>
      </c>
      <c r="H263" s="31">
        <v>1</v>
      </c>
      <c r="I263" s="31" t="e">
        <f t="shared" ca="1" si="0"/>
        <v>#NAME?</v>
      </c>
      <c r="L263" s="31">
        <v>1</v>
      </c>
      <c r="M263" s="31">
        <f t="shared" si="1"/>
        <v>1</v>
      </c>
    </row>
    <row r="264" spans="1:13" ht="13">
      <c r="A264" s="34" t="s">
        <v>680</v>
      </c>
      <c r="B264" s="31" t="s">
        <v>74</v>
      </c>
      <c r="C264" s="33" t="s">
        <v>452</v>
      </c>
      <c r="D264" s="31">
        <v>0</v>
      </c>
      <c r="E264" s="31">
        <v>1</v>
      </c>
      <c r="F264" s="31" t="s">
        <v>681</v>
      </c>
      <c r="G264" s="31">
        <v>0</v>
      </c>
      <c r="H264" s="31">
        <v>1</v>
      </c>
      <c r="I264" s="31" t="e">
        <f t="shared" ca="1" si="0"/>
        <v>#NAME?</v>
      </c>
      <c r="L264" s="31">
        <v>0</v>
      </c>
      <c r="M264" s="31">
        <f t="shared" si="1"/>
        <v>1</v>
      </c>
    </row>
    <row r="265" spans="1:13" ht="13">
      <c r="A265" s="34" t="s">
        <v>680</v>
      </c>
      <c r="B265" s="31" t="s">
        <v>74</v>
      </c>
      <c r="C265" s="33" t="s">
        <v>452</v>
      </c>
      <c r="D265" s="31">
        <v>0</v>
      </c>
      <c r="E265" s="31">
        <v>1</v>
      </c>
      <c r="F265" s="31" t="s">
        <v>682</v>
      </c>
      <c r="G265" s="31">
        <v>0</v>
      </c>
      <c r="H265" s="31">
        <v>1</v>
      </c>
      <c r="I265" s="31" t="e">
        <f t="shared" ca="1" si="0"/>
        <v>#NAME?</v>
      </c>
      <c r="M265" s="31">
        <f t="shared" si="1"/>
        <v>0</v>
      </c>
    </row>
    <row r="266" spans="1:13" ht="13">
      <c r="A266" s="34" t="s">
        <v>683</v>
      </c>
      <c r="B266" s="31" t="s">
        <v>74</v>
      </c>
      <c r="C266" s="33" t="s">
        <v>453</v>
      </c>
      <c r="D266" s="31">
        <v>0</v>
      </c>
      <c r="E266" s="31">
        <v>0</v>
      </c>
      <c r="F266" s="31" t="s">
        <v>684</v>
      </c>
      <c r="G266" s="31">
        <v>0</v>
      </c>
      <c r="H266" s="31">
        <v>1</v>
      </c>
      <c r="I266" s="31" t="e">
        <f t="shared" ca="1" si="0"/>
        <v>#NAME?</v>
      </c>
      <c r="L266" s="31">
        <v>1</v>
      </c>
      <c r="M266" s="31">
        <f t="shared" si="1"/>
        <v>1</v>
      </c>
    </row>
    <row r="267" spans="1:13" ht="13">
      <c r="A267" s="34" t="s">
        <v>683</v>
      </c>
      <c r="B267" s="31" t="s">
        <v>74</v>
      </c>
      <c r="C267" s="33" t="s">
        <v>453</v>
      </c>
      <c r="D267" s="31">
        <v>0</v>
      </c>
      <c r="E267" s="31">
        <v>0</v>
      </c>
      <c r="F267" s="31" t="s">
        <v>685</v>
      </c>
      <c r="G267" s="31">
        <v>0</v>
      </c>
      <c r="H267" s="31">
        <v>1</v>
      </c>
      <c r="I267" s="31" t="e">
        <f t="shared" ca="1" si="0"/>
        <v>#NAME?</v>
      </c>
      <c r="M267" s="31">
        <f t="shared" si="1"/>
        <v>0</v>
      </c>
    </row>
    <row r="268" spans="1:13" ht="13">
      <c r="A268" s="34" t="s">
        <v>683</v>
      </c>
      <c r="B268" s="31" t="s">
        <v>74</v>
      </c>
      <c r="C268" s="33" t="s">
        <v>453</v>
      </c>
      <c r="D268" s="31">
        <v>0</v>
      </c>
      <c r="E268" s="31">
        <v>0</v>
      </c>
      <c r="F268" s="31" t="s">
        <v>686</v>
      </c>
      <c r="G268" s="31">
        <v>0</v>
      </c>
      <c r="H268" s="31">
        <v>1</v>
      </c>
      <c r="I268" s="31" t="e">
        <f t="shared" ca="1" si="0"/>
        <v>#NAME?</v>
      </c>
      <c r="M268" s="31">
        <f t="shared" si="1"/>
        <v>0</v>
      </c>
    </row>
    <row r="269" spans="1:13" ht="13">
      <c r="A269" s="34" t="s">
        <v>687</v>
      </c>
      <c r="B269" s="31" t="s">
        <v>74</v>
      </c>
      <c r="C269" s="33" t="s">
        <v>454</v>
      </c>
      <c r="D269" s="31">
        <v>0</v>
      </c>
      <c r="E269" s="31">
        <v>0</v>
      </c>
      <c r="F269" s="31" t="s">
        <v>686</v>
      </c>
      <c r="G269" s="31">
        <v>0</v>
      </c>
      <c r="H269" s="31">
        <v>1</v>
      </c>
      <c r="I269" s="31" t="e">
        <f t="shared" ca="1" si="0"/>
        <v>#NAME?</v>
      </c>
      <c r="L269" s="31">
        <v>0</v>
      </c>
      <c r="M269" s="31">
        <f t="shared" si="1"/>
        <v>1</v>
      </c>
    </row>
    <row r="270" spans="1:13" ht="13">
      <c r="A270" s="34" t="s">
        <v>687</v>
      </c>
      <c r="B270" s="31" t="s">
        <v>74</v>
      </c>
      <c r="C270" s="33" t="s">
        <v>454</v>
      </c>
      <c r="D270" s="31">
        <v>0</v>
      </c>
      <c r="E270" s="31">
        <v>0</v>
      </c>
      <c r="F270" s="31" t="s">
        <v>688</v>
      </c>
      <c r="G270" s="31">
        <v>0</v>
      </c>
      <c r="H270" s="31">
        <v>1</v>
      </c>
      <c r="I270" s="31" t="e">
        <f t="shared" ca="1" si="0"/>
        <v>#NAME?</v>
      </c>
      <c r="M270" s="31">
        <f t="shared" si="1"/>
        <v>0</v>
      </c>
    </row>
    <row r="271" spans="1:13" ht="13">
      <c r="A271" s="34" t="s">
        <v>689</v>
      </c>
      <c r="B271" s="31" t="s">
        <v>74</v>
      </c>
      <c r="C271" s="33" t="s">
        <v>455</v>
      </c>
      <c r="D271" s="31">
        <v>0</v>
      </c>
      <c r="E271" s="31">
        <v>0</v>
      </c>
      <c r="F271" s="31" t="s">
        <v>686</v>
      </c>
      <c r="G271" s="31">
        <v>0</v>
      </c>
      <c r="H271" s="31">
        <v>1</v>
      </c>
      <c r="I271" s="31" t="e">
        <f t="shared" ca="1" si="0"/>
        <v>#NAME?</v>
      </c>
      <c r="L271" s="31">
        <v>0</v>
      </c>
      <c r="M271" s="31">
        <f t="shared" si="1"/>
        <v>1</v>
      </c>
    </row>
    <row r="272" spans="1:13" ht="13">
      <c r="A272" s="34" t="s">
        <v>689</v>
      </c>
      <c r="B272" s="31" t="s">
        <v>74</v>
      </c>
      <c r="C272" s="33" t="s">
        <v>455</v>
      </c>
      <c r="D272" s="31">
        <v>0</v>
      </c>
      <c r="E272" s="31">
        <v>0</v>
      </c>
      <c r="F272" s="31" t="s">
        <v>690</v>
      </c>
      <c r="G272" s="31">
        <v>0</v>
      </c>
      <c r="H272" s="31">
        <v>1</v>
      </c>
      <c r="I272" s="31" t="e">
        <f t="shared" ca="1" si="0"/>
        <v>#NAME?</v>
      </c>
      <c r="M272" s="31">
        <f t="shared" si="1"/>
        <v>0</v>
      </c>
    </row>
    <row r="273" spans="1:13" ht="13">
      <c r="A273" s="34" t="s">
        <v>689</v>
      </c>
      <c r="B273" s="31" t="s">
        <v>74</v>
      </c>
      <c r="C273" s="33" t="s">
        <v>455</v>
      </c>
      <c r="D273" s="31">
        <v>0</v>
      </c>
      <c r="E273" s="31">
        <v>0</v>
      </c>
      <c r="F273" s="31" t="s">
        <v>567</v>
      </c>
      <c r="G273" s="31">
        <v>0</v>
      </c>
      <c r="H273" s="31">
        <v>1</v>
      </c>
      <c r="I273" s="31" t="e">
        <f t="shared" ca="1" si="0"/>
        <v>#NAME?</v>
      </c>
      <c r="M273" s="31">
        <f t="shared" si="1"/>
        <v>0</v>
      </c>
    </row>
    <row r="274" spans="1:13" ht="13">
      <c r="A274" s="34" t="s">
        <v>691</v>
      </c>
      <c r="B274" s="31" t="s">
        <v>74</v>
      </c>
      <c r="C274" s="33" t="s">
        <v>467</v>
      </c>
      <c r="D274" s="31">
        <v>0</v>
      </c>
      <c r="E274" s="31">
        <v>1</v>
      </c>
      <c r="F274" s="31" t="s">
        <v>692</v>
      </c>
      <c r="G274" s="31">
        <v>0</v>
      </c>
      <c r="H274" s="31">
        <v>1</v>
      </c>
      <c r="I274" s="31" t="e">
        <f t="shared" ca="1" si="0"/>
        <v>#NAME?</v>
      </c>
      <c r="L274" s="31">
        <v>0</v>
      </c>
      <c r="M274" s="31">
        <f t="shared" si="1"/>
        <v>1</v>
      </c>
    </row>
    <row r="275" spans="1:13" ht="13">
      <c r="A275" s="34" t="s">
        <v>693</v>
      </c>
      <c r="B275" s="31" t="s">
        <v>74</v>
      </c>
      <c r="C275" s="33" t="s">
        <v>468</v>
      </c>
      <c r="D275" s="31">
        <v>0</v>
      </c>
      <c r="E275" s="31">
        <v>1</v>
      </c>
      <c r="F275" s="31" t="s">
        <v>694</v>
      </c>
      <c r="G275" s="31">
        <v>0</v>
      </c>
      <c r="H275" s="31">
        <v>1</v>
      </c>
      <c r="I275" s="31" t="e">
        <f t="shared" ca="1" si="0"/>
        <v>#NAME?</v>
      </c>
      <c r="L275" s="31">
        <v>0</v>
      </c>
      <c r="M275" s="31">
        <f t="shared" si="1"/>
        <v>1</v>
      </c>
    </row>
    <row r="276" spans="1:13" ht="13">
      <c r="A276" s="34" t="s">
        <v>693</v>
      </c>
      <c r="B276" s="31" t="s">
        <v>74</v>
      </c>
      <c r="C276" s="33" t="s">
        <v>468</v>
      </c>
      <c r="D276" s="31">
        <v>0</v>
      </c>
      <c r="E276" s="31">
        <v>1</v>
      </c>
      <c r="F276" s="31" t="s">
        <v>695</v>
      </c>
      <c r="G276" s="31">
        <v>0</v>
      </c>
      <c r="H276" s="31">
        <v>1</v>
      </c>
      <c r="I276" s="31" t="e">
        <f t="shared" ca="1" si="0"/>
        <v>#NAME?</v>
      </c>
      <c r="M276" s="31">
        <f t="shared" si="1"/>
        <v>0</v>
      </c>
    </row>
    <row r="277" spans="1:13" ht="13">
      <c r="A277" s="34" t="s">
        <v>693</v>
      </c>
      <c r="B277" s="31" t="s">
        <v>74</v>
      </c>
      <c r="C277" s="33" t="s">
        <v>468</v>
      </c>
      <c r="D277" s="31">
        <v>0</v>
      </c>
      <c r="E277" s="31">
        <v>1</v>
      </c>
      <c r="F277" s="31" t="s">
        <v>696</v>
      </c>
      <c r="G277" s="31">
        <v>0</v>
      </c>
      <c r="H277" s="31">
        <v>1</v>
      </c>
      <c r="I277" s="31" t="e">
        <f t="shared" ca="1" si="0"/>
        <v>#NAME?</v>
      </c>
      <c r="M277" s="31">
        <f t="shared" si="1"/>
        <v>0</v>
      </c>
    </row>
    <row r="278" spans="1:13" ht="13">
      <c r="A278" s="34" t="s">
        <v>697</v>
      </c>
      <c r="B278" s="31" t="s">
        <v>74</v>
      </c>
      <c r="C278" s="33" t="s">
        <v>469</v>
      </c>
      <c r="D278" s="31">
        <v>0</v>
      </c>
      <c r="E278" s="31">
        <v>1</v>
      </c>
      <c r="F278" s="31" t="s">
        <v>698</v>
      </c>
      <c r="G278" s="31">
        <v>0</v>
      </c>
      <c r="H278" s="31">
        <v>1</v>
      </c>
      <c r="I278" s="31" t="e">
        <f t="shared" ca="1" si="0"/>
        <v>#NAME?</v>
      </c>
      <c r="L278" s="31">
        <v>1</v>
      </c>
      <c r="M278" s="31">
        <f t="shared" si="1"/>
        <v>1</v>
      </c>
    </row>
    <row r="279" spans="1:13" ht="13">
      <c r="A279" s="34" t="s">
        <v>699</v>
      </c>
      <c r="B279" s="31" t="s">
        <v>74</v>
      </c>
      <c r="C279" s="33" t="s">
        <v>470</v>
      </c>
      <c r="D279" s="31">
        <v>0</v>
      </c>
      <c r="E279" s="31">
        <v>0</v>
      </c>
      <c r="F279" s="31" t="s">
        <v>618</v>
      </c>
      <c r="G279" s="31">
        <v>0</v>
      </c>
      <c r="H279" s="31">
        <v>1</v>
      </c>
      <c r="I279" s="31" t="e">
        <f t="shared" ca="1" si="0"/>
        <v>#NAME?</v>
      </c>
      <c r="L279" s="31">
        <v>0</v>
      </c>
      <c r="M279" s="31">
        <f t="shared" si="1"/>
        <v>1</v>
      </c>
    </row>
    <row r="280" spans="1:13" ht="13">
      <c r="A280" s="34" t="s">
        <v>700</v>
      </c>
      <c r="B280" s="31" t="s">
        <v>74</v>
      </c>
      <c r="C280" s="33" t="s">
        <v>472</v>
      </c>
      <c r="D280" s="31">
        <v>0</v>
      </c>
      <c r="E280" s="31">
        <v>1</v>
      </c>
      <c r="F280" s="31" t="s">
        <v>567</v>
      </c>
      <c r="G280" s="31">
        <v>0</v>
      </c>
      <c r="H280" s="31">
        <v>1</v>
      </c>
      <c r="I280" s="31" t="e">
        <f t="shared" ca="1" si="0"/>
        <v>#NAME?</v>
      </c>
      <c r="L280" s="31">
        <v>0</v>
      </c>
      <c r="M280" s="31">
        <f t="shared" si="1"/>
        <v>1</v>
      </c>
    </row>
    <row r="281" spans="1:13" ht="13">
      <c r="A281" s="34" t="s">
        <v>700</v>
      </c>
      <c r="B281" s="31" t="s">
        <v>74</v>
      </c>
      <c r="C281" s="33" t="s">
        <v>472</v>
      </c>
      <c r="D281" s="31">
        <v>0</v>
      </c>
      <c r="E281" s="31">
        <v>1</v>
      </c>
      <c r="F281" s="31" t="s">
        <v>618</v>
      </c>
      <c r="G281" s="31">
        <v>0</v>
      </c>
      <c r="H281" s="31">
        <v>1</v>
      </c>
      <c r="I281" s="31" t="e">
        <f t="shared" ca="1" si="0"/>
        <v>#NAME?</v>
      </c>
      <c r="M281" s="31">
        <f t="shared" si="1"/>
        <v>0</v>
      </c>
    </row>
    <row r="282" spans="1:13" ht="13">
      <c r="A282" s="34" t="s">
        <v>700</v>
      </c>
      <c r="B282" s="31" t="s">
        <v>74</v>
      </c>
      <c r="C282" s="33" t="s">
        <v>472</v>
      </c>
      <c r="D282" s="31">
        <v>0</v>
      </c>
      <c r="E282" s="31">
        <v>1</v>
      </c>
      <c r="F282" s="31" t="s">
        <v>701</v>
      </c>
      <c r="G282" s="31">
        <v>0</v>
      </c>
      <c r="H282" s="31">
        <v>1</v>
      </c>
      <c r="I282" s="31" t="e">
        <f t="shared" ca="1" si="0"/>
        <v>#NAME?</v>
      </c>
      <c r="M282" s="31">
        <f t="shared" si="1"/>
        <v>0</v>
      </c>
    </row>
    <row r="283" spans="1:13" ht="13">
      <c r="A283" s="34" t="s">
        <v>702</v>
      </c>
      <c r="B283" s="31" t="s">
        <v>74</v>
      </c>
      <c r="C283" s="33" t="s">
        <v>471</v>
      </c>
      <c r="D283" s="31">
        <v>0</v>
      </c>
      <c r="E283" s="31">
        <v>0</v>
      </c>
      <c r="F283" s="31" t="s">
        <v>703</v>
      </c>
      <c r="G283" s="31">
        <v>0</v>
      </c>
      <c r="H283" s="31">
        <v>1</v>
      </c>
      <c r="I283" s="31" t="e">
        <f t="shared" ca="1" si="0"/>
        <v>#NAME?</v>
      </c>
      <c r="K283" s="31" t="s">
        <v>704</v>
      </c>
      <c r="L283" s="31">
        <v>0</v>
      </c>
      <c r="M283" s="31">
        <f t="shared" si="1"/>
        <v>1</v>
      </c>
    </row>
    <row r="284" spans="1:13" ht="13">
      <c r="A284" s="34" t="s">
        <v>705</v>
      </c>
      <c r="B284" s="31" t="s">
        <v>74</v>
      </c>
      <c r="C284" s="33" t="s">
        <v>473</v>
      </c>
      <c r="D284" s="31">
        <v>0</v>
      </c>
      <c r="E284" s="31">
        <v>0</v>
      </c>
      <c r="F284" s="31" t="s">
        <v>706</v>
      </c>
      <c r="G284" s="31">
        <v>0</v>
      </c>
      <c r="H284" s="31">
        <v>1</v>
      </c>
      <c r="I284" s="31" t="e">
        <f t="shared" ca="1" si="0"/>
        <v>#NAME?</v>
      </c>
      <c r="L284" s="31">
        <v>0</v>
      </c>
      <c r="M284" s="31">
        <f t="shared" si="1"/>
        <v>1</v>
      </c>
    </row>
    <row r="285" spans="1:13" ht="13">
      <c r="A285" s="34" t="s">
        <v>705</v>
      </c>
      <c r="B285" s="31" t="s">
        <v>74</v>
      </c>
      <c r="C285" s="33" t="s">
        <v>473</v>
      </c>
      <c r="D285" s="31">
        <v>0</v>
      </c>
      <c r="E285" s="31">
        <v>0</v>
      </c>
      <c r="F285" s="31" t="s">
        <v>707</v>
      </c>
      <c r="G285" s="31">
        <v>0</v>
      </c>
      <c r="H285" s="31">
        <v>1</v>
      </c>
      <c r="I285" s="31" t="e">
        <f t="shared" ca="1" si="0"/>
        <v>#NAME?</v>
      </c>
      <c r="M285" s="31">
        <f t="shared" si="1"/>
        <v>0</v>
      </c>
    </row>
    <row r="286" spans="1:13" ht="13">
      <c r="A286" s="34" t="s">
        <v>705</v>
      </c>
      <c r="B286" s="31" t="s">
        <v>74</v>
      </c>
      <c r="C286" s="33" t="s">
        <v>473</v>
      </c>
      <c r="D286" s="31">
        <v>0</v>
      </c>
      <c r="E286" s="31">
        <v>0</v>
      </c>
      <c r="F286" s="31" t="s">
        <v>708</v>
      </c>
      <c r="G286" s="31">
        <v>0</v>
      </c>
      <c r="H286" s="31">
        <v>1</v>
      </c>
      <c r="I286" s="31" t="e">
        <f t="shared" ca="1" si="0"/>
        <v>#NAME?</v>
      </c>
      <c r="M286" s="31">
        <f t="shared" si="1"/>
        <v>0</v>
      </c>
    </row>
    <row r="287" spans="1:13" ht="13">
      <c r="A287" s="34" t="s">
        <v>709</v>
      </c>
      <c r="B287" s="31" t="s">
        <v>74</v>
      </c>
      <c r="C287" s="33" t="s">
        <v>474</v>
      </c>
      <c r="D287" s="31">
        <v>0</v>
      </c>
      <c r="E287" s="31">
        <v>0</v>
      </c>
      <c r="F287" s="31" t="s">
        <v>662</v>
      </c>
      <c r="G287" s="31">
        <v>0</v>
      </c>
      <c r="H287" s="31">
        <v>1</v>
      </c>
      <c r="I287" s="31" t="e">
        <f t="shared" ca="1" si="0"/>
        <v>#NAME?</v>
      </c>
      <c r="L287" s="31">
        <v>0</v>
      </c>
      <c r="M287" s="31">
        <f t="shared" si="1"/>
        <v>1</v>
      </c>
    </row>
    <row r="288" spans="1:13" ht="13">
      <c r="A288" s="34" t="s">
        <v>709</v>
      </c>
      <c r="B288" s="31" t="s">
        <v>74</v>
      </c>
      <c r="C288" s="33" t="s">
        <v>474</v>
      </c>
      <c r="D288" s="31">
        <v>0</v>
      </c>
      <c r="E288" s="31">
        <v>0</v>
      </c>
      <c r="F288" s="31" t="s">
        <v>710</v>
      </c>
      <c r="G288" s="31">
        <v>0</v>
      </c>
      <c r="H288" s="31">
        <v>1</v>
      </c>
      <c r="I288" s="31" t="e">
        <f t="shared" ca="1" si="0"/>
        <v>#NAME?</v>
      </c>
      <c r="M288" s="31">
        <f t="shared" si="1"/>
        <v>0</v>
      </c>
    </row>
    <row r="289" spans="1:13" ht="13">
      <c r="A289" s="34" t="s">
        <v>709</v>
      </c>
      <c r="B289" s="31" t="s">
        <v>74</v>
      </c>
      <c r="C289" s="33" t="s">
        <v>474</v>
      </c>
      <c r="D289" s="31">
        <v>0</v>
      </c>
      <c r="E289" s="31">
        <v>0</v>
      </c>
      <c r="F289" s="31" t="s">
        <v>711</v>
      </c>
      <c r="G289" s="31">
        <v>0</v>
      </c>
      <c r="H289" s="31">
        <v>1</v>
      </c>
      <c r="I289" s="31" t="e">
        <f t="shared" ca="1" si="0"/>
        <v>#NAME?</v>
      </c>
      <c r="M289" s="31">
        <f t="shared" si="1"/>
        <v>0</v>
      </c>
    </row>
    <row r="290" spans="1:13" ht="13">
      <c r="A290" s="34" t="s">
        <v>712</v>
      </c>
      <c r="B290" s="31" t="s">
        <v>74</v>
      </c>
      <c r="C290" s="33" t="s">
        <v>475</v>
      </c>
      <c r="D290" s="31">
        <v>0</v>
      </c>
      <c r="E290" s="31">
        <v>0</v>
      </c>
      <c r="F290" s="31" t="s">
        <v>345</v>
      </c>
      <c r="G290" s="31">
        <v>0</v>
      </c>
      <c r="H290" s="31">
        <v>1</v>
      </c>
      <c r="I290" s="31" t="e">
        <f t="shared" ca="1" si="0"/>
        <v>#NAME?</v>
      </c>
      <c r="M290" s="31">
        <f t="shared" si="1"/>
        <v>1</v>
      </c>
    </row>
    <row r="291" spans="1:13" ht="13">
      <c r="A291" s="34" t="s">
        <v>712</v>
      </c>
      <c r="B291" s="31" t="s">
        <v>74</v>
      </c>
      <c r="C291" s="33" t="s">
        <v>475</v>
      </c>
      <c r="D291" s="31">
        <v>0</v>
      </c>
      <c r="E291" s="31">
        <v>0</v>
      </c>
      <c r="F291" s="31" t="s">
        <v>713</v>
      </c>
      <c r="G291" s="31">
        <v>0</v>
      </c>
      <c r="H291" s="31">
        <v>1</v>
      </c>
      <c r="I291" s="31" t="e">
        <f t="shared" ca="1" si="0"/>
        <v>#NAME?</v>
      </c>
      <c r="M291" s="31">
        <f t="shared" si="1"/>
        <v>0</v>
      </c>
    </row>
    <row r="292" spans="1:13" ht="13">
      <c r="A292" s="34" t="s">
        <v>712</v>
      </c>
      <c r="B292" s="31" t="s">
        <v>74</v>
      </c>
      <c r="C292" s="33" t="s">
        <v>475</v>
      </c>
      <c r="D292" s="31">
        <v>0</v>
      </c>
      <c r="E292" s="31">
        <v>0</v>
      </c>
      <c r="F292" s="31" t="s">
        <v>714</v>
      </c>
      <c r="G292" s="31">
        <v>0</v>
      </c>
      <c r="H292" s="31">
        <v>1</v>
      </c>
      <c r="I292" s="31" t="e">
        <f t="shared" ca="1" si="0"/>
        <v>#NAME?</v>
      </c>
      <c r="M292" s="31">
        <f t="shared" si="1"/>
        <v>0</v>
      </c>
    </row>
    <row r="293" spans="1:13" ht="13">
      <c r="A293" s="34" t="s">
        <v>712</v>
      </c>
      <c r="B293" s="31" t="s">
        <v>74</v>
      </c>
      <c r="C293" s="33" t="s">
        <v>475</v>
      </c>
      <c r="D293" s="31">
        <v>0</v>
      </c>
      <c r="E293" s="31">
        <v>0</v>
      </c>
      <c r="F293" s="31" t="s">
        <v>715</v>
      </c>
      <c r="G293" s="31">
        <v>0</v>
      </c>
      <c r="H293" s="31">
        <v>1</v>
      </c>
      <c r="I293" s="31" t="e">
        <f t="shared" ca="1" si="0"/>
        <v>#NAME?</v>
      </c>
      <c r="M293" s="31">
        <f t="shared" si="1"/>
        <v>0</v>
      </c>
    </row>
    <row r="294" spans="1:13" ht="13">
      <c r="A294" s="34" t="s">
        <v>716</v>
      </c>
      <c r="B294" s="31" t="s">
        <v>74</v>
      </c>
      <c r="C294" s="33" t="s">
        <v>476</v>
      </c>
      <c r="D294" s="31">
        <v>0</v>
      </c>
      <c r="E294" s="31">
        <v>1</v>
      </c>
      <c r="F294" s="31" t="s">
        <v>686</v>
      </c>
      <c r="G294" s="31">
        <v>0</v>
      </c>
      <c r="H294" s="31">
        <v>1</v>
      </c>
      <c r="I294" s="31" t="e">
        <f t="shared" ca="1" si="0"/>
        <v>#NAME?</v>
      </c>
      <c r="L294" s="31">
        <v>0</v>
      </c>
      <c r="M294" s="31">
        <f t="shared" si="1"/>
        <v>1</v>
      </c>
    </row>
    <row r="295" spans="1:13" ht="13">
      <c r="A295" s="34" t="s">
        <v>716</v>
      </c>
      <c r="B295" s="31" t="s">
        <v>74</v>
      </c>
      <c r="C295" s="33" t="s">
        <v>476</v>
      </c>
      <c r="D295" s="31">
        <v>0</v>
      </c>
      <c r="E295" s="31">
        <v>1</v>
      </c>
      <c r="F295" s="31" t="s">
        <v>717</v>
      </c>
      <c r="G295" s="31">
        <v>0</v>
      </c>
      <c r="H295" s="31">
        <v>1</v>
      </c>
      <c r="I295" s="31" t="e">
        <f t="shared" ca="1" si="0"/>
        <v>#NAME?</v>
      </c>
      <c r="M295" s="31">
        <f t="shared" si="1"/>
        <v>0</v>
      </c>
    </row>
    <row r="296" spans="1:13" ht="13">
      <c r="A296" s="34" t="s">
        <v>716</v>
      </c>
      <c r="B296" s="31" t="s">
        <v>74</v>
      </c>
      <c r="C296" s="33" t="s">
        <v>476</v>
      </c>
      <c r="D296" s="31">
        <v>0</v>
      </c>
      <c r="E296" s="31">
        <v>1</v>
      </c>
      <c r="F296" s="31" t="s">
        <v>718</v>
      </c>
      <c r="G296" s="31">
        <v>0</v>
      </c>
      <c r="H296" s="31">
        <v>1</v>
      </c>
      <c r="I296" s="31" t="e">
        <f t="shared" ca="1" si="0"/>
        <v>#NAME?</v>
      </c>
      <c r="M296" s="31">
        <f t="shared" si="1"/>
        <v>0</v>
      </c>
    </row>
    <row r="297" spans="1:13" ht="13">
      <c r="A297" s="34" t="s">
        <v>716</v>
      </c>
      <c r="B297" s="31" t="s">
        <v>74</v>
      </c>
      <c r="C297" s="33" t="s">
        <v>476</v>
      </c>
      <c r="D297" s="31">
        <v>0</v>
      </c>
      <c r="E297" s="31">
        <v>1</v>
      </c>
      <c r="F297" s="31" t="s">
        <v>719</v>
      </c>
      <c r="G297" s="31">
        <v>0</v>
      </c>
      <c r="H297" s="31">
        <v>1</v>
      </c>
      <c r="I297" s="31" t="e">
        <f t="shared" ca="1" si="0"/>
        <v>#NAME?</v>
      </c>
      <c r="M297" s="31">
        <f t="shared" si="1"/>
        <v>0</v>
      </c>
    </row>
    <row r="298" spans="1:13" ht="13">
      <c r="A298" s="34" t="s">
        <v>716</v>
      </c>
      <c r="B298" s="31" t="s">
        <v>74</v>
      </c>
      <c r="C298" s="33" t="s">
        <v>476</v>
      </c>
      <c r="D298" s="31">
        <v>0</v>
      </c>
      <c r="E298" s="31">
        <v>1</v>
      </c>
      <c r="F298" s="31" t="s">
        <v>720</v>
      </c>
      <c r="G298" s="31">
        <v>0</v>
      </c>
      <c r="H298" s="31">
        <v>1</v>
      </c>
      <c r="I298" s="31" t="e">
        <f t="shared" ca="1" si="0"/>
        <v>#NAME?</v>
      </c>
      <c r="M298" s="31">
        <f t="shared" si="1"/>
        <v>0</v>
      </c>
    </row>
    <row r="299" spans="1:13" ht="13">
      <c r="A299" s="34" t="s">
        <v>721</v>
      </c>
      <c r="B299" s="31" t="s">
        <v>74</v>
      </c>
      <c r="C299" s="33" t="s">
        <v>488</v>
      </c>
      <c r="D299" s="31">
        <v>0</v>
      </c>
      <c r="E299" s="31">
        <v>0</v>
      </c>
      <c r="F299" s="31" t="s">
        <v>722</v>
      </c>
      <c r="G299" s="31">
        <v>0</v>
      </c>
      <c r="H299" s="31">
        <v>0</v>
      </c>
      <c r="I299" s="31" t="e">
        <f t="shared" ca="1" si="0"/>
        <v>#NAME?</v>
      </c>
      <c r="K299" s="31" t="s">
        <v>723</v>
      </c>
      <c r="L299" s="31">
        <v>0</v>
      </c>
      <c r="M299" s="31">
        <f t="shared" si="1"/>
        <v>1</v>
      </c>
    </row>
    <row r="300" spans="1:13" ht="13">
      <c r="A300" s="34" t="s">
        <v>721</v>
      </c>
      <c r="B300" s="31" t="s">
        <v>74</v>
      </c>
      <c r="C300" s="33" t="s">
        <v>488</v>
      </c>
      <c r="D300" s="31">
        <v>0</v>
      </c>
      <c r="E300" s="31">
        <v>0</v>
      </c>
      <c r="F300" s="31" t="s">
        <v>724</v>
      </c>
      <c r="G300" s="31">
        <v>0</v>
      </c>
      <c r="H300" s="31">
        <v>0</v>
      </c>
      <c r="I300" s="31" t="e">
        <f t="shared" ca="1" si="0"/>
        <v>#NAME?</v>
      </c>
      <c r="M300" s="31">
        <f t="shared" si="1"/>
        <v>0</v>
      </c>
    </row>
    <row r="301" spans="1:13" ht="13">
      <c r="A301" s="34" t="s">
        <v>725</v>
      </c>
      <c r="B301" s="31" t="s">
        <v>74</v>
      </c>
      <c r="C301" s="33" t="s">
        <v>489</v>
      </c>
      <c r="D301" s="31">
        <v>0</v>
      </c>
      <c r="E301" s="31">
        <v>0</v>
      </c>
      <c r="F301" s="31" t="s">
        <v>664</v>
      </c>
      <c r="G301" s="31">
        <v>0</v>
      </c>
      <c r="H301" s="31">
        <v>1</v>
      </c>
      <c r="I301" s="31" t="e">
        <f t="shared" ca="1" si="0"/>
        <v>#NAME?</v>
      </c>
      <c r="L301" s="31">
        <v>0</v>
      </c>
      <c r="M301" s="31">
        <f t="shared" si="1"/>
        <v>1</v>
      </c>
    </row>
    <row r="302" spans="1:13" ht="13">
      <c r="A302" s="34" t="s">
        <v>725</v>
      </c>
      <c r="B302" s="31" t="s">
        <v>74</v>
      </c>
      <c r="C302" s="33" t="s">
        <v>489</v>
      </c>
      <c r="D302" s="31">
        <v>0</v>
      </c>
      <c r="E302" s="31">
        <v>0</v>
      </c>
      <c r="F302" s="31" t="s">
        <v>657</v>
      </c>
      <c r="G302" s="31">
        <v>0</v>
      </c>
      <c r="H302" s="31">
        <v>1</v>
      </c>
      <c r="I302" s="31" t="e">
        <f t="shared" ca="1" si="0"/>
        <v>#NAME?</v>
      </c>
      <c r="M302" s="31">
        <f t="shared" si="1"/>
        <v>0</v>
      </c>
    </row>
    <row r="303" spans="1:13" ht="13">
      <c r="A303" s="34" t="s">
        <v>726</v>
      </c>
      <c r="B303" s="31" t="s">
        <v>74</v>
      </c>
      <c r="C303" s="33" t="s">
        <v>490</v>
      </c>
      <c r="D303" s="31">
        <v>0</v>
      </c>
      <c r="E303" s="31">
        <v>1</v>
      </c>
      <c r="F303" s="31" t="s">
        <v>727</v>
      </c>
      <c r="G303" s="31">
        <v>0</v>
      </c>
      <c r="H303" s="31">
        <v>1</v>
      </c>
      <c r="I303" s="31" t="e">
        <f t="shared" ca="1" si="0"/>
        <v>#NAME?</v>
      </c>
      <c r="L303" s="31">
        <v>0</v>
      </c>
      <c r="M303" s="31">
        <f t="shared" si="1"/>
        <v>1</v>
      </c>
    </row>
    <row r="304" spans="1:13" ht="13">
      <c r="A304" s="34" t="s">
        <v>726</v>
      </c>
      <c r="B304" s="31" t="s">
        <v>74</v>
      </c>
      <c r="C304" s="33" t="s">
        <v>490</v>
      </c>
      <c r="D304" s="31">
        <v>0</v>
      </c>
      <c r="E304" s="31">
        <v>1</v>
      </c>
      <c r="F304" s="31" t="s">
        <v>728</v>
      </c>
      <c r="G304" s="31">
        <v>0</v>
      </c>
      <c r="H304" s="31">
        <v>1</v>
      </c>
      <c r="I304" s="31" t="e">
        <f t="shared" ca="1" si="0"/>
        <v>#NAME?</v>
      </c>
      <c r="M304" s="31">
        <f t="shared" si="1"/>
        <v>0</v>
      </c>
    </row>
    <row r="305" spans="1:13" ht="13">
      <c r="A305" s="34" t="s">
        <v>729</v>
      </c>
      <c r="B305" s="31" t="s">
        <v>74</v>
      </c>
      <c r="C305" s="33" t="s">
        <v>491</v>
      </c>
      <c r="D305" s="31">
        <v>0</v>
      </c>
      <c r="E305" s="31">
        <v>1</v>
      </c>
      <c r="F305" s="31" t="s">
        <v>730</v>
      </c>
      <c r="G305" s="31">
        <v>0</v>
      </c>
      <c r="H305" s="31">
        <v>1</v>
      </c>
      <c r="I305" s="31" t="e">
        <f t="shared" ca="1" si="0"/>
        <v>#NAME?</v>
      </c>
      <c r="L305" s="31">
        <v>0</v>
      </c>
      <c r="M305" s="31">
        <f t="shared" si="1"/>
        <v>1</v>
      </c>
    </row>
    <row r="306" spans="1:13" ht="13">
      <c r="A306" s="34" t="s">
        <v>729</v>
      </c>
      <c r="B306" s="31" t="s">
        <v>74</v>
      </c>
      <c r="C306" s="33" t="s">
        <v>491</v>
      </c>
      <c r="D306" s="31">
        <v>0</v>
      </c>
      <c r="E306" s="31">
        <v>1</v>
      </c>
      <c r="F306" s="31" t="s">
        <v>731</v>
      </c>
      <c r="G306" s="31">
        <v>0</v>
      </c>
      <c r="H306" s="31">
        <v>1</v>
      </c>
      <c r="I306" s="31" t="e">
        <f t="shared" ca="1" si="0"/>
        <v>#NAME?</v>
      </c>
      <c r="M306" s="31">
        <f t="shared" si="1"/>
        <v>0</v>
      </c>
    </row>
    <row r="307" spans="1:13" ht="13">
      <c r="A307" s="34" t="s">
        <v>729</v>
      </c>
      <c r="B307" s="31" t="s">
        <v>74</v>
      </c>
      <c r="C307" s="33" t="s">
        <v>491</v>
      </c>
      <c r="D307" s="31">
        <v>0</v>
      </c>
      <c r="E307" s="31">
        <v>1</v>
      </c>
      <c r="F307" s="31" t="s">
        <v>732</v>
      </c>
      <c r="G307" s="31">
        <v>0</v>
      </c>
      <c r="H307" s="31">
        <v>1</v>
      </c>
      <c r="I307" s="31" t="e">
        <f t="shared" ca="1" si="0"/>
        <v>#NAME?</v>
      </c>
      <c r="M307" s="31">
        <f t="shared" si="1"/>
        <v>0</v>
      </c>
    </row>
    <row r="308" spans="1:13" ht="13">
      <c r="A308" s="34" t="s">
        <v>733</v>
      </c>
      <c r="B308" s="31" t="s">
        <v>74</v>
      </c>
      <c r="C308" s="33" t="s">
        <v>734</v>
      </c>
      <c r="D308" s="31">
        <v>0</v>
      </c>
      <c r="E308" s="31">
        <v>0</v>
      </c>
      <c r="F308" s="31" t="s">
        <v>735</v>
      </c>
      <c r="G308" s="31">
        <v>0</v>
      </c>
      <c r="H308" s="31">
        <v>1</v>
      </c>
      <c r="I308" s="31" t="e">
        <f t="shared" ca="1" si="0"/>
        <v>#NAME?</v>
      </c>
      <c r="L308" s="31">
        <v>0</v>
      </c>
      <c r="M308" s="31">
        <f t="shared" si="1"/>
        <v>1</v>
      </c>
    </row>
    <row r="309" spans="1:13" ht="13">
      <c r="A309" s="34" t="s">
        <v>733</v>
      </c>
      <c r="B309" s="31" t="s">
        <v>74</v>
      </c>
      <c r="C309" s="33" t="s">
        <v>734</v>
      </c>
      <c r="D309" s="31">
        <v>0</v>
      </c>
      <c r="E309" s="31">
        <v>0</v>
      </c>
      <c r="F309" s="31" t="s">
        <v>736</v>
      </c>
      <c r="G309" s="31">
        <v>0</v>
      </c>
      <c r="H309" s="31">
        <v>1</v>
      </c>
      <c r="I309" s="31" t="e">
        <f t="shared" ca="1" si="0"/>
        <v>#NAME?</v>
      </c>
      <c r="M309" s="31">
        <f t="shared" si="1"/>
        <v>0</v>
      </c>
    </row>
    <row r="310" spans="1:13" ht="13">
      <c r="A310" s="34" t="s">
        <v>733</v>
      </c>
      <c r="B310" s="31" t="s">
        <v>74</v>
      </c>
      <c r="C310" s="33" t="s">
        <v>734</v>
      </c>
      <c r="D310" s="31">
        <v>0</v>
      </c>
      <c r="E310" s="31">
        <v>0</v>
      </c>
      <c r="F310" s="31" t="s">
        <v>737</v>
      </c>
      <c r="G310" s="31">
        <v>0</v>
      </c>
      <c r="H310" s="31">
        <v>1</v>
      </c>
      <c r="I310" s="31" t="e">
        <f t="shared" ca="1" si="0"/>
        <v>#NAME?</v>
      </c>
      <c r="M310" s="31">
        <f t="shared" si="1"/>
        <v>0</v>
      </c>
    </row>
    <row r="311" spans="1:13" ht="13">
      <c r="A311" s="34" t="s">
        <v>733</v>
      </c>
      <c r="B311" s="31" t="s">
        <v>74</v>
      </c>
      <c r="C311" s="33" t="s">
        <v>734</v>
      </c>
      <c r="D311" s="31">
        <v>0</v>
      </c>
      <c r="E311" s="31">
        <v>0</v>
      </c>
      <c r="F311" s="31" t="s">
        <v>738</v>
      </c>
      <c r="G311" s="31">
        <v>0</v>
      </c>
      <c r="H311" s="31">
        <v>1</v>
      </c>
      <c r="I311" s="31" t="e">
        <f t="shared" ca="1" si="0"/>
        <v>#NAME?</v>
      </c>
      <c r="M311" s="31">
        <f t="shared" si="1"/>
        <v>0</v>
      </c>
    </row>
    <row r="312" spans="1:13" ht="13">
      <c r="A312" s="34" t="s">
        <v>733</v>
      </c>
      <c r="B312" s="31" t="s">
        <v>74</v>
      </c>
      <c r="C312" s="33" t="s">
        <v>734</v>
      </c>
      <c r="D312" s="31">
        <v>0</v>
      </c>
      <c r="E312" s="31">
        <v>0</v>
      </c>
      <c r="F312" s="31" t="s">
        <v>739</v>
      </c>
      <c r="G312" s="31">
        <v>0</v>
      </c>
      <c r="H312" s="31">
        <v>1</v>
      </c>
      <c r="I312" s="31" t="e">
        <f t="shared" ca="1" si="0"/>
        <v>#NAME?</v>
      </c>
      <c r="M312" s="31">
        <f t="shared" si="1"/>
        <v>0</v>
      </c>
    </row>
    <row r="313" spans="1:13" ht="13">
      <c r="A313" s="34" t="s">
        <v>733</v>
      </c>
      <c r="B313" s="31" t="s">
        <v>74</v>
      </c>
      <c r="C313" s="33" t="s">
        <v>734</v>
      </c>
      <c r="D313" s="31">
        <v>0</v>
      </c>
      <c r="E313" s="31">
        <v>0</v>
      </c>
      <c r="F313" s="31" t="s">
        <v>740</v>
      </c>
      <c r="G313" s="31">
        <v>0</v>
      </c>
      <c r="H313" s="31">
        <v>1</v>
      </c>
      <c r="I313" s="31" t="e">
        <f t="shared" ca="1" si="0"/>
        <v>#NAME?</v>
      </c>
      <c r="M313" s="31">
        <f t="shared" si="1"/>
        <v>0</v>
      </c>
    </row>
    <row r="314" spans="1:13" ht="13">
      <c r="A314" s="34" t="s">
        <v>733</v>
      </c>
      <c r="B314" s="31" t="s">
        <v>74</v>
      </c>
      <c r="C314" s="33" t="s">
        <v>734</v>
      </c>
      <c r="D314" s="31">
        <v>0</v>
      </c>
      <c r="E314" s="31">
        <v>0</v>
      </c>
      <c r="F314" s="31" t="s">
        <v>741</v>
      </c>
      <c r="G314" s="31">
        <v>0</v>
      </c>
      <c r="H314" s="31">
        <v>1</v>
      </c>
      <c r="I314" s="31" t="e">
        <f t="shared" ca="1" si="0"/>
        <v>#NAME?</v>
      </c>
      <c r="M314" s="31">
        <f t="shared" si="1"/>
        <v>0</v>
      </c>
    </row>
    <row r="315" spans="1:13" ht="13">
      <c r="A315" s="34" t="s">
        <v>742</v>
      </c>
      <c r="B315" s="31" t="s">
        <v>74</v>
      </c>
      <c r="C315" s="33" t="s">
        <v>492</v>
      </c>
      <c r="D315" s="31">
        <v>0</v>
      </c>
      <c r="E315" s="31">
        <v>1</v>
      </c>
      <c r="F315" s="31" t="s">
        <v>743</v>
      </c>
      <c r="G315" s="31">
        <v>0</v>
      </c>
      <c r="H315" s="31">
        <v>1</v>
      </c>
      <c r="I315" s="31" t="e">
        <f t="shared" ca="1" si="0"/>
        <v>#NAME?</v>
      </c>
      <c r="M315" s="31">
        <f t="shared" si="1"/>
        <v>1</v>
      </c>
    </row>
    <row r="316" spans="1:13" ht="13">
      <c r="A316" s="34" t="s">
        <v>742</v>
      </c>
      <c r="B316" s="31" t="s">
        <v>74</v>
      </c>
      <c r="C316" s="33" t="s">
        <v>492</v>
      </c>
      <c r="D316" s="31">
        <v>0</v>
      </c>
      <c r="E316" s="31">
        <v>1</v>
      </c>
      <c r="F316" s="31" t="s">
        <v>744</v>
      </c>
      <c r="G316" s="31">
        <v>0</v>
      </c>
      <c r="H316" s="31">
        <v>1</v>
      </c>
      <c r="I316" s="31" t="e">
        <f t="shared" ca="1" si="0"/>
        <v>#NAME?</v>
      </c>
      <c r="M316" s="31">
        <f t="shared" si="1"/>
        <v>0</v>
      </c>
    </row>
    <row r="317" spans="1:13" ht="13">
      <c r="A317" s="34" t="s">
        <v>742</v>
      </c>
      <c r="B317" s="31" t="s">
        <v>74</v>
      </c>
      <c r="C317" s="33" t="s">
        <v>492</v>
      </c>
      <c r="D317" s="31">
        <v>0</v>
      </c>
      <c r="E317" s="31">
        <v>1</v>
      </c>
      <c r="F317" s="31" t="s">
        <v>745</v>
      </c>
      <c r="G317" s="31">
        <v>0</v>
      </c>
      <c r="H317" s="31">
        <v>1</v>
      </c>
      <c r="I317" s="31" t="e">
        <f t="shared" ca="1" si="0"/>
        <v>#NAME?</v>
      </c>
      <c r="M317" s="31">
        <f t="shared" si="1"/>
        <v>0</v>
      </c>
    </row>
    <row r="318" spans="1:13" ht="13">
      <c r="A318" s="34" t="s">
        <v>746</v>
      </c>
      <c r="B318" s="31" t="s">
        <v>74</v>
      </c>
      <c r="C318" s="33" t="s">
        <v>493</v>
      </c>
      <c r="D318" s="31">
        <v>0</v>
      </c>
      <c r="E318" s="31">
        <v>1</v>
      </c>
      <c r="F318" s="31" t="s">
        <v>664</v>
      </c>
      <c r="G318" s="31">
        <v>0</v>
      </c>
      <c r="H318" s="31">
        <v>1</v>
      </c>
      <c r="I318" s="31" t="e">
        <f t="shared" ca="1" si="0"/>
        <v>#NAME?</v>
      </c>
      <c r="L318" s="31">
        <v>1</v>
      </c>
      <c r="M318" s="31">
        <f t="shared" si="1"/>
        <v>1</v>
      </c>
    </row>
    <row r="319" spans="1:13" ht="13">
      <c r="A319" s="34" t="s">
        <v>746</v>
      </c>
      <c r="B319" s="31" t="s">
        <v>74</v>
      </c>
      <c r="C319" s="33" t="s">
        <v>493</v>
      </c>
      <c r="D319" s="31">
        <v>0</v>
      </c>
      <c r="E319" s="31">
        <v>1</v>
      </c>
      <c r="F319" s="31" t="s">
        <v>567</v>
      </c>
      <c r="G319" s="31">
        <v>0</v>
      </c>
      <c r="H319" s="31">
        <v>1</v>
      </c>
      <c r="I319" s="31" t="e">
        <f t="shared" ca="1" si="0"/>
        <v>#NAME?</v>
      </c>
      <c r="M319" s="31">
        <f t="shared" si="1"/>
        <v>0</v>
      </c>
    </row>
    <row r="320" spans="1:13" ht="13">
      <c r="A320" s="34" t="s">
        <v>746</v>
      </c>
      <c r="B320" s="31" t="s">
        <v>74</v>
      </c>
      <c r="C320" s="33" t="s">
        <v>493</v>
      </c>
      <c r="D320" s="31">
        <v>0</v>
      </c>
      <c r="E320" s="31">
        <v>1</v>
      </c>
      <c r="F320" s="31" t="s">
        <v>747</v>
      </c>
      <c r="G320" s="31">
        <v>0</v>
      </c>
      <c r="H320" s="31">
        <v>1</v>
      </c>
      <c r="I320" s="31" t="e">
        <f t="shared" ca="1" si="0"/>
        <v>#NAME?</v>
      </c>
      <c r="M320" s="31">
        <f t="shared" si="1"/>
        <v>0</v>
      </c>
    </row>
    <row r="321" spans="1:13" ht="13">
      <c r="A321" s="34" t="s">
        <v>746</v>
      </c>
      <c r="B321" s="31" t="s">
        <v>74</v>
      </c>
      <c r="C321" s="33" t="s">
        <v>493</v>
      </c>
      <c r="D321" s="31">
        <v>0</v>
      </c>
      <c r="E321" s="31">
        <v>1</v>
      </c>
      <c r="F321" s="31" t="s">
        <v>748</v>
      </c>
      <c r="G321" s="31">
        <v>0</v>
      </c>
      <c r="H321" s="31">
        <v>1</v>
      </c>
      <c r="I321" s="31" t="e">
        <f t="shared" ca="1" si="0"/>
        <v>#NAME?</v>
      </c>
      <c r="M321" s="31">
        <f t="shared" si="1"/>
        <v>0</v>
      </c>
    </row>
    <row r="322" spans="1:13" ht="13">
      <c r="A322" s="34" t="s">
        <v>746</v>
      </c>
      <c r="B322" s="31" t="s">
        <v>74</v>
      </c>
      <c r="C322" s="33" t="s">
        <v>493</v>
      </c>
      <c r="D322" s="31">
        <v>0</v>
      </c>
      <c r="E322" s="31">
        <v>1</v>
      </c>
      <c r="F322" s="31" t="s">
        <v>749</v>
      </c>
      <c r="G322" s="31">
        <v>0</v>
      </c>
      <c r="H322" s="31">
        <v>0</v>
      </c>
      <c r="I322" s="31" t="e">
        <f t="shared" ca="1" si="0"/>
        <v>#NAME?</v>
      </c>
      <c r="K322" s="31" t="s">
        <v>750</v>
      </c>
      <c r="M322" s="31">
        <f t="shared" si="1"/>
        <v>0</v>
      </c>
    </row>
    <row r="323" spans="1:13" ht="13">
      <c r="A323" s="34" t="s">
        <v>751</v>
      </c>
      <c r="B323" s="31" t="s">
        <v>74</v>
      </c>
      <c r="C323" s="33" t="s">
        <v>494</v>
      </c>
      <c r="D323" s="31">
        <v>0</v>
      </c>
      <c r="E323" s="31">
        <v>0</v>
      </c>
      <c r="F323" s="31" t="s">
        <v>567</v>
      </c>
      <c r="G323" s="31">
        <v>0</v>
      </c>
      <c r="H323" s="31">
        <v>1</v>
      </c>
      <c r="I323" s="31" t="e">
        <f t="shared" ca="1" si="0"/>
        <v>#NAME?</v>
      </c>
      <c r="L323" s="31">
        <v>0</v>
      </c>
      <c r="M323" s="31">
        <f t="shared" si="1"/>
        <v>1</v>
      </c>
    </row>
    <row r="324" spans="1:13" ht="13">
      <c r="A324" s="34" t="s">
        <v>751</v>
      </c>
      <c r="B324" s="31" t="s">
        <v>74</v>
      </c>
      <c r="C324" s="33" t="s">
        <v>494</v>
      </c>
      <c r="D324" s="31">
        <v>0</v>
      </c>
      <c r="E324" s="31">
        <v>0</v>
      </c>
      <c r="F324" s="31" t="s">
        <v>684</v>
      </c>
      <c r="G324" s="31">
        <v>0</v>
      </c>
      <c r="H324" s="31">
        <v>1</v>
      </c>
      <c r="I324" s="31" t="e">
        <f t="shared" ca="1" si="0"/>
        <v>#NAME?</v>
      </c>
      <c r="M324" s="31">
        <f t="shared" si="1"/>
        <v>0</v>
      </c>
    </row>
    <row r="325" spans="1:13" ht="13">
      <c r="A325" s="34" t="s">
        <v>751</v>
      </c>
      <c r="B325" s="31" t="s">
        <v>74</v>
      </c>
      <c r="C325" s="33" t="s">
        <v>494</v>
      </c>
      <c r="D325" s="31">
        <v>0</v>
      </c>
      <c r="E325" s="31">
        <v>0</v>
      </c>
      <c r="F325" s="31" t="s">
        <v>685</v>
      </c>
      <c r="G325" s="31">
        <v>0</v>
      </c>
      <c r="H325" s="31">
        <v>1</v>
      </c>
      <c r="I325" s="31" t="e">
        <f t="shared" ca="1" si="0"/>
        <v>#NAME?</v>
      </c>
      <c r="M325" s="31">
        <f t="shared" si="1"/>
        <v>0</v>
      </c>
    </row>
    <row r="326" spans="1:13" ht="13">
      <c r="A326" s="34" t="s">
        <v>751</v>
      </c>
      <c r="B326" s="31" t="s">
        <v>74</v>
      </c>
      <c r="C326" s="33" t="s">
        <v>494</v>
      </c>
      <c r="D326" s="31">
        <v>0</v>
      </c>
      <c r="E326" s="31">
        <v>0</v>
      </c>
      <c r="F326" s="31" t="s">
        <v>618</v>
      </c>
      <c r="G326" s="31">
        <v>0</v>
      </c>
      <c r="H326" s="31">
        <v>1</v>
      </c>
      <c r="I326" s="31" t="e">
        <f t="shared" ca="1" si="0"/>
        <v>#NAME?</v>
      </c>
      <c r="M326" s="31">
        <f t="shared" si="1"/>
        <v>0</v>
      </c>
    </row>
    <row r="327" spans="1:13" ht="13">
      <c r="A327" s="34" t="s">
        <v>752</v>
      </c>
      <c r="B327" s="31" t="s">
        <v>74</v>
      </c>
      <c r="C327" s="33" t="s">
        <v>495</v>
      </c>
      <c r="D327" s="31">
        <v>0</v>
      </c>
      <c r="E327" s="31">
        <v>1</v>
      </c>
      <c r="F327" s="31" t="s">
        <v>753</v>
      </c>
      <c r="G327" s="31">
        <v>0</v>
      </c>
      <c r="H327" s="31">
        <v>1</v>
      </c>
      <c r="I327" s="31" t="e">
        <f t="shared" ca="1" si="0"/>
        <v>#NAME?</v>
      </c>
      <c r="K327" s="31" t="s">
        <v>754</v>
      </c>
      <c r="L327" s="31">
        <v>0</v>
      </c>
      <c r="M327" s="31">
        <f t="shared" si="1"/>
        <v>1</v>
      </c>
    </row>
    <row r="328" spans="1:13" ht="13">
      <c r="A328" s="34" t="s">
        <v>755</v>
      </c>
      <c r="B328" s="31" t="s">
        <v>74</v>
      </c>
      <c r="C328" s="33" t="s">
        <v>496</v>
      </c>
      <c r="D328" s="31">
        <v>0</v>
      </c>
      <c r="E328" s="31">
        <v>0</v>
      </c>
      <c r="F328" s="31" t="s">
        <v>756</v>
      </c>
      <c r="G328" s="31">
        <v>0</v>
      </c>
      <c r="H328" s="31">
        <v>1</v>
      </c>
      <c r="I328" s="31" t="e">
        <f t="shared" ca="1" si="0"/>
        <v>#NAME?</v>
      </c>
      <c r="L328" s="31">
        <v>1</v>
      </c>
      <c r="M328" s="31">
        <f t="shared" si="1"/>
        <v>1</v>
      </c>
    </row>
    <row r="329" spans="1:13" ht="13">
      <c r="A329" s="34" t="s">
        <v>755</v>
      </c>
      <c r="B329" s="31" t="s">
        <v>74</v>
      </c>
      <c r="C329" s="33" t="s">
        <v>496</v>
      </c>
      <c r="D329" s="31">
        <v>0</v>
      </c>
      <c r="E329" s="31">
        <v>0</v>
      </c>
      <c r="F329" s="31" t="s">
        <v>757</v>
      </c>
      <c r="G329" s="31">
        <v>0</v>
      </c>
      <c r="H329" s="31">
        <v>1</v>
      </c>
      <c r="I329" s="31" t="e">
        <f t="shared" ca="1" si="0"/>
        <v>#NAME?</v>
      </c>
      <c r="M329" s="31">
        <f t="shared" si="1"/>
        <v>0</v>
      </c>
    </row>
    <row r="330" spans="1:13" ht="13">
      <c r="A330" s="34" t="s">
        <v>755</v>
      </c>
      <c r="B330" s="31" t="s">
        <v>74</v>
      </c>
      <c r="C330" s="33" t="s">
        <v>496</v>
      </c>
      <c r="D330" s="31">
        <v>0</v>
      </c>
      <c r="E330" s="31">
        <v>0</v>
      </c>
      <c r="F330" s="31" t="s">
        <v>758</v>
      </c>
      <c r="G330" s="31">
        <v>0</v>
      </c>
      <c r="H330" s="31">
        <v>1</v>
      </c>
      <c r="I330" s="31" t="e">
        <f t="shared" ca="1" si="0"/>
        <v>#NAME?</v>
      </c>
      <c r="M330" s="31">
        <f t="shared" si="1"/>
        <v>0</v>
      </c>
    </row>
    <row r="331" spans="1:13" ht="13">
      <c r="A331" s="34" t="s">
        <v>755</v>
      </c>
      <c r="B331" s="31" t="s">
        <v>74</v>
      </c>
      <c r="C331" s="33" t="s">
        <v>496</v>
      </c>
      <c r="D331" s="31">
        <v>0</v>
      </c>
      <c r="E331" s="31">
        <v>0</v>
      </c>
      <c r="F331" s="31" t="s">
        <v>759</v>
      </c>
      <c r="G331" s="31">
        <v>0</v>
      </c>
      <c r="H331" s="31">
        <v>0</v>
      </c>
      <c r="I331" s="31" t="e">
        <f t="shared" ca="1" si="0"/>
        <v>#NAME?</v>
      </c>
      <c r="K331" s="31" t="s">
        <v>754</v>
      </c>
      <c r="M331" s="31">
        <f t="shared" si="1"/>
        <v>0</v>
      </c>
    </row>
    <row r="332" spans="1:13" ht="13">
      <c r="A332" s="42" t="s">
        <v>369</v>
      </c>
      <c r="B332" s="31" t="s">
        <v>50</v>
      </c>
      <c r="D332" s="31">
        <v>0</v>
      </c>
      <c r="E332" s="31">
        <v>0</v>
      </c>
      <c r="F332" s="31" t="s">
        <v>111</v>
      </c>
      <c r="G332" s="31">
        <v>0</v>
      </c>
      <c r="H332" s="31">
        <v>0</v>
      </c>
      <c r="I332" s="31" t="e">
        <f t="shared" ca="1" si="0"/>
        <v>#NAME?</v>
      </c>
      <c r="L332" s="31">
        <v>1</v>
      </c>
      <c r="M332" s="31">
        <f t="shared" si="1"/>
        <v>1</v>
      </c>
    </row>
    <row r="333" spans="1:13" ht="13">
      <c r="A333" s="42" t="s">
        <v>370</v>
      </c>
      <c r="B333" s="31" t="s">
        <v>50</v>
      </c>
      <c r="D333" s="31">
        <v>0</v>
      </c>
      <c r="E333" s="31">
        <v>0</v>
      </c>
      <c r="F333" s="31" t="s">
        <v>343</v>
      </c>
      <c r="G333" s="31">
        <v>0</v>
      </c>
      <c r="H333" s="31">
        <v>1</v>
      </c>
      <c r="I333" s="31" t="e">
        <f t="shared" ca="1" si="0"/>
        <v>#NAME?</v>
      </c>
      <c r="L333" s="31">
        <v>1</v>
      </c>
      <c r="M333" s="31">
        <f t="shared" si="1"/>
        <v>1</v>
      </c>
    </row>
    <row r="334" spans="1:13" ht="13">
      <c r="A334" s="33" t="s">
        <v>371</v>
      </c>
      <c r="B334" s="31" t="s">
        <v>50</v>
      </c>
      <c r="C334" s="33" t="s">
        <v>372</v>
      </c>
      <c r="D334" s="31">
        <v>0</v>
      </c>
      <c r="E334" s="31">
        <v>0</v>
      </c>
      <c r="F334" s="31" t="s">
        <v>344</v>
      </c>
      <c r="G334" s="31">
        <v>0</v>
      </c>
      <c r="H334" s="31">
        <v>1</v>
      </c>
      <c r="I334" s="31" t="e">
        <f t="shared" ca="1" si="0"/>
        <v>#NAME?</v>
      </c>
      <c r="J334" s="43" t="s">
        <v>373</v>
      </c>
      <c r="L334" s="31">
        <v>1</v>
      </c>
      <c r="M334" s="31">
        <f t="shared" si="1"/>
        <v>1</v>
      </c>
    </row>
    <row r="335" spans="1:13" ht="13">
      <c r="A335" s="42" t="s">
        <v>374</v>
      </c>
      <c r="B335" s="31" t="s">
        <v>50</v>
      </c>
      <c r="D335" s="31">
        <v>0</v>
      </c>
      <c r="E335" s="31">
        <v>0</v>
      </c>
      <c r="F335" s="31" t="s">
        <v>375</v>
      </c>
      <c r="G335" s="31">
        <v>0</v>
      </c>
      <c r="H335" s="31">
        <v>1</v>
      </c>
      <c r="I335" s="31" t="e">
        <f t="shared" ca="1" si="0"/>
        <v>#NAME?</v>
      </c>
      <c r="J335" s="33" t="s">
        <v>376</v>
      </c>
      <c r="L335" s="31">
        <v>0</v>
      </c>
      <c r="M335" s="31">
        <f t="shared" si="1"/>
        <v>1</v>
      </c>
    </row>
    <row r="336" spans="1:13" ht="19">
      <c r="A336" s="42" t="s">
        <v>377</v>
      </c>
      <c r="B336" s="31" t="s">
        <v>50</v>
      </c>
      <c r="D336" s="31">
        <v>0</v>
      </c>
      <c r="E336" s="31">
        <v>0</v>
      </c>
      <c r="F336" s="31" t="s">
        <v>346</v>
      </c>
      <c r="G336" s="31">
        <v>0</v>
      </c>
      <c r="H336" s="31">
        <v>1</v>
      </c>
      <c r="I336" s="31" t="e">
        <f t="shared" ca="1" si="0"/>
        <v>#NAME?</v>
      </c>
      <c r="J336" s="44"/>
      <c r="L336" s="31">
        <v>0</v>
      </c>
      <c r="M336" s="31">
        <f t="shared" si="1"/>
        <v>1</v>
      </c>
    </row>
    <row r="337" spans="1:13" ht="19">
      <c r="A337" s="42" t="s">
        <v>377</v>
      </c>
      <c r="B337" s="31" t="s">
        <v>50</v>
      </c>
      <c r="D337" s="31">
        <v>0</v>
      </c>
      <c r="E337" s="31">
        <v>0</v>
      </c>
      <c r="F337" s="31" t="s">
        <v>345</v>
      </c>
      <c r="G337" s="31">
        <v>0</v>
      </c>
      <c r="H337" s="31">
        <v>1</v>
      </c>
      <c r="I337" s="31" t="e">
        <f t="shared" ca="1" si="0"/>
        <v>#NAME?</v>
      </c>
      <c r="J337" s="44"/>
      <c r="L337" s="31">
        <v>0</v>
      </c>
      <c r="M337" s="31">
        <f t="shared" si="1"/>
        <v>0</v>
      </c>
    </row>
    <row r="338" spans="1:13" ht="13">
      <c r="A338" s="42" t="s">
        <v>378</v>
      </c>
      <c r="B338" s="31" t="s">
        <v>50</v>
      </c>
      <c r="D338" s="31">
        <v>0</v>
      </c>
      <c r="E338" s="31">
        <v>0</v>
      </c>
      <c r="F338" s="31" t="s">
        <v>379</v>
      </c>
      <c r="G338" s="31">
        <v>0</v>
      </c>
      <c r="H338" s="31">
        <v>0</v>
      </c>
      <c r="I338" s="31" t="e">
        <f t="shared" ca="1" si="0"/>
        <v>#NAME?</v>
      </c>
      <c r="L338" s="31">
        <v>1</v>
      </c>
      <c r="M338" s="31">
        <f t="shared" si="1"/>
        <v>1</v>
      </c>
    </row>
    <row r="339" spans="1:13" ht="13">
      <c r="A339" s="45" t="s">
        <v>380</v>
      </c>
      <c r="B339" s="31" t="s">
        <v>50</v>
      </c>
      <c r="C339" s="33" t="s">
        <v>381</v>
      </c>
      <c r="D339" s="31">
        <v>0</v>
      </c>
      <c r="E339" s="31">
        <v>0</v>
      </c>
      <c r="F339" s="31" t="s">
        <v>382</v>
      </c>
      <c r="G339" s="31">
        <v>0</v>
      </c>
      <c r="H339" s="31">
        <v>0</v>
      </c>
      <c r="I339" s="31" t="e">
        <f t="shared" ca="1" si="0"/>
        <v>#NAME?</v>
      </c>
      <c r="L339" s="31">
        <v>0</v>
      </c>
      <c r="M339" s="31">
        <f t="shared" si="1"/>
        <v>1</v>
      </c>
    </row>
    <row r="340" spans="1:13" ht="13">
      <c r="A340" s="33" t="s">
        <v>383</v>
      </c>
      <c r="B340" s="31" t="s">
        <v>50</v>
      </c>
      <c r="C340" s="33" t="s">
        <v>384</v>
      </c>
      <c r="D340" s="31">
        <v>0</v>
      </c>
      <c r="E340" s="31">
        <v>0</v>
      </c>
      <c r="F340" s="31" t="s">
        <v>385</v>
      </c>
      <c r="G340" s="31">
        <v>1</v>
      </c>
      <c r="H340" s="31">
        <v>0</v>
      </c>
      <c r="I340" s="31" t="e">
        <f t="shared" ca="1" si="0"/>
        <v>#NAME?</v>
      </c>
      <c r="L340" s="31">
        <v>0</v>
      </c>
      <c r="M340" s="31">
        <f t="shared" si="1"/>
        <v>1</v>
      </c>
    </row>
    <row r="341" spans="1:13" ht="13">
      <c r="A341" s="33" t="s">
        <v>386</v>
      </c>
      <c r="B341" s="31" t="s">
        <v>50</v>
      </c>
      <c r="C341" s="33" t="s">
        <v>387</v>
      </c>
      <c r="D341" s="31">
        <v>0</v>
      </c>
      <c r="E341" s="31">
        <v>0</v>
      </c>
      <c r="F341" s="31" t="s">
        <v>388</v>
      </c>
      <c r="G341" s="31">
        <v>1</v>
      </c>
      <c r="H341" s="31">
        <v>0</v>
      </c>
      <c r="I341" s="31" t="e">
        <f t="shared" ca="1" si="0"/>
        <v>#NAME?</v>
      </c>
      <c r="L341" s="31">
        <v>1</v>
      </c>
      <c r="M341" s="31">
        <f t="shared" si="1"/>
        <v>1</v>
      </c>
    </row>
    <row r="342" spans="1:13" ht="13">
      <c r="A342" s="42" t="s">
        <v>389</v>
      </c>
      <c r="B342" s="31" t="s">
        <v>50</v>
      </c>
      <c r="D342" s="31">
        <v>0</v>
      </c>
      <c r="E342" s="31">
        <v>0</v>
      </c>
      <c r="F342" s="31" t="s">
        <v>347</v>
      </c>
      <c r="G342" s="31">
        <v>0</v>
      </c>
      <c r="H342" s="31">
        <v>1</v>
      </c>
      <c r="I342" s="31" t="e">
        <f t="shared" ca="1" si="0"/>
        <v>#NAME?</v>
      </c>
      <c r="L342" s="31">
        <v>0</v>
      </c>
      <c r="M342" s="31">
        <f t="shared" si="1"/>
        <v>1</v>
      </c>
    </row>
    <row r="343" spans="1:13" ht="13">
      <c r="A343" s="42" t="s">
        <v>389</v>
      </c>
      <c r="B343" s="31" t="s">
        <v>50</v>
      </c>
      <c r="D343" s="31">
        <v>0</v>
      </c>
      <c r="E343" s="31">
        <v>0</v>
      </c>
      <c r="F343" s="31" t="s">
        <v>390</v>
      </c>
      <c r="G343" s="31">
        <v>0</v>
      </c>
      <c r="H343" s="31">
        <v>1</v>
      </c>
      <c r="I343" s="31" t="e">
        <f t="shared" ca="1" si="0"/>
        <v>#NAME?</v>
      </c>
      <c r="L343" s="31">
        <v>0</v>
      </c>
      <c r="M343" s="31">
        <f t="shared" si="1"/>
        <v>0</v>
      </c>
    </row>
    <row r="344" spans="1:13" ht="13">
      <c r="A344" s="42" t="s">
        <v>389</v>
      </c>
      <c r="B344" s="31" t="s">
        <v>50</v>
      </c>
      <c r="D344" s="31">
        <v>0</v>
      </c>
      <c r="E344" s="31">
        <v>0</v>
      </c>
      <c r="F344" s="31" t="s">
        <v>391</v>
      </c>
      <c r="G344" s="31">
        <v>0</v>
      </c>
      <c r="H344" s="31">
        <v>1</v>
      </c>
      <c r="I344" s="31" t="e">
        <f t="shared" ca="1" si="0"/>
        <v>#NAME?</v>
      </c>
      <c r="L344" s="31">
        <v>0</v>
      </c>
      <c r="M344" s="31">
        <f t="shared" si="1"/>
        <v>0</v>
      </c>
    </row>
    <row r="345" spans="1:13" ht="13">
      <c r="A345" s="42" t="s">
        <v>392</v>
      </c>
      <c r="B345" s="31" t="s">
        <v>50</v>
      </c>
      <c r="D345" s="31">
        <v>0</v>
      </c>
      <c r="E345" s="31">
        <v>0</v>
      </c>
      <c r="F345" s="31" t="s">
        <v>201</v>
      </c>
      <c r="G345" s="31">
        <v>1</v>
      </c>
      <c r="H345" s="31">
        <v>1</v>
      </c>
      <c r="I345" s="31" t="e">
        <f t="shared" ca="1" si="0"/>
        <v>#NAME?</v>
      </c>
      <c r="L345" s="31">
        <v>0</v>
      </c>
      <c r="M345" s="31">
        <f t="shared" si="1"/>
        <v>1</v>
      </c>
    </row>
    <row r="346" spans="1:13" ht="13">
      <c r="A346" s="42" t="s">
        <v>393</v>
      </c>
      <c r="B346" s="31" t="s">
        <v>50</v>
      </c>
      <c r="D346" s="31">
        <v>0</v>
      </c>
      <c r="E346" s="31">
        <v>0</v>
      </c>
      <c r="F346" s="31" t="s">
        <v>181</v>
      </c>
      <c r="G346" s="31">
        <v>1</v>
      </c>
      <c r="H346" s="31">
        <v>0</v>
      </c>
      <c r="I346" s="31" t="e">
        <f t="shared" ca="1" si="0"/>
        <v>#NAME?</v>
      </c>
      <c r="L346" s="31">
        <v>0</v>
      </c>
      <c r="M346" s="31">
        <f t="shared" si="1"/>
        <v>1</v>
      </c>
    </row>
    <row r="347" spans="1:13" ht="13">
      <c r="A347" s="42" t="s">
        <v>394</v>
      </c>
      <c r="B347" s="31" t="s">
        <v>50</v>
      </c>
      <c r="D347" s="31">
        <v>0</v>
      </c>
      <c r="E347" s="31">
        <v>0</v>
      </c>
      <c r="F347" s="31" t="s">
        <v>395</v>
      </c>
      <c r="G347" s="31">
        <v>0</v>
      </c>
      <c r="H347" s="31">
        <v>0</v>
      </c>
      <c r="I347" s="31" t="e">
        <f t="shared" ca="1" si="0"/>
        <v>#NAME?</v>
      </c>
      <c r="L347" s="31">
        <v>0</v>
      </c>
      <c r="M347" s="31">
        <f t="shared" si="1"/>
        <v>1</v>
      </c>
    </row>
    <row r="348" spans="1:13" ht="13">
      <c r="A348" s="42" t="s">
        <v>396</v>
      </c>
      <c r="B348" s="31" t="s">
        <v>50</v>
      </c>
      <c r="D348" s="31">
        <v>0</v>
      </c>
      <c r="E348" s="31">
        <v>0</v>
      </c>
      <c r="F348" s="31" t="s">
        <v>183</v>
      </c>
      <c r="G348" s="31">
        <v>0</v>
      </c>
      <c r="H348" s="31">
        <v>0</v>
      </c>
      <c r="I348" s="31" t="e">
        <f t="shared" ca="1" si="0"/>
        <v>#NAME?</v>
      </c>
      <c r="L348" s="31">
        <v>1</v>
      </c>
      <c r="M348" s="31">
        <f t="shared" si="1"/>
        <v>1</v>
      </c>
    </row>
    <row r="349" spans="1:13" ht="13">
      <c r="A349" s="42" t="s">
        <v>397</v>
      </c>
      <c r="B349" s="31" t="s">
        <v>50</v>
      </c>
      <c r="D349" s="31">
        <v>0</v>
      </c>
      <c r="E349" s="31">
        <v>0</v>
      </c>
      <c r="F349" s="31" t="s">
        <v>388</v>
      </c>
      <c r="G349" s="31">
        <v>1</v>
      </c>
      <c r="H349" s="31">
        <v>0</v>
      </c>
      <c r="I349" s="31" t="e">
        <f t="shared" ca="1" si="0"/>
        <v>#NAME?</v>
      </c>
      <c r="L349" s="31">
        <v>1</v>
      </c>
      <c r="M349" s="31">
        <f t="shared" si="1"/>
        <v>1</v>
      </c>
    </row>
    <row r="350" spans="1:13" ht="13">
      <c r="A350" s="42" t="s">
        <v>397</v>
      </c>
      <c r="B350" s="31" t="s">
        <v>50</v>
      </c>
      <c r="D350" s="31">
        <v>0</v>
      </c>
      <c r="E350" s="31">
        <v>0</v>
      </c>
      <c r="F350" s="31" t="s">
        <v>348</v>
      </c>
      <c r="G350" s="31">
        <v>0</v>
      </c>
      <c r="H350" s="31">
        <v>1</v>
      </c>
      <c r="I350" s="31" t="e">
        <f t="shared" ca="1" si="0"/>
        <v>#NAME?</v>
      </c>
      <c r="L350" s="31">
        <v>1</v>
      </c>
      <c r="M350" s="31">
        <f t="shared" si="1"/>
        <v>0</v>
      </c>
    </row>
    <row r="351" spans="1:13" ht="13">
      <c r="A351" s="33" t="s">
        <v>398</v>
      </c>
      <c r="B351" s="31" t="s">
        <v>50</v>
      </c>
      <c r="C351" s="33" t="s">
        <v>399</v>
      </c>
      <c r="D351" s="31">
        <v>0</v>
      </c>
      <c r="E351" s="31">
        <v>1</v>
      </c>
      <c r="F351" s="31" t="s">
        <v>400</v>
      </c>
      <c r="G351" s="31">
        <v>0</v>
      </c>
      <c r="H351" s="31">
        <v>0</v>
      </c>
      <c r="I351" s="31" t="e">
        <f t="shared" ca="1" si="0"/>
        <v>#NAME?</v>
      </c>
      <c r="L351" s="31">
        <v>1</v>
      </c>
      <c r="M351" s="31">
        <f t="shared" si="1"/>
        <v>1</v>
      </c>
    </row>
    <row r="352" spans="1:13" ht="13">
      <c r="A352" s="42" t="s">
        <v>401</v>
      </c>
      <c r="B352" s="31" t="s">
        <v>50</v>
      </c>
      <c r="D352" s="31">
        <v>0</v>
      </c>
      <c r="E352" s="31">
        <v>0</v>
      </c>
      <c r="F352" s="31" t="s">
        <v>349</v>
      </c>
      <c r="G352" s="31">
        <v>1</v>
      </c>
      <c r="H352" s="31">
        <v>1</v>
      </c>
      <c r="I352" s="31" t="e">
        <f t="shared" ca="1" si="0"/>
        <v>#NAME?</v>
      </c>
      <c r="J352" s="33" t="s">
        <v>402</v>
      </c>
      <c r="L352" s="31">
        <v>0</v>
      </c>
      <c r="M352" s="31">
        <f t="shared" si="1"/>
        <v>1</v>
      </c>
    </row>
    <row r="353" spans="1:13" ht="13">
      <c r="A353" s="33" t="s">
        <v>403</v>
      </c>
      <c r="B353" s="31" t="s">
        <v>50</v>
      </c>
      <c r="C353" s="33" t="s">
        <v>404</v>
      </c>
      <c r="D353" s="31">
        <v>0</v>
      </c>
      <c r="E353" s="31">
        <v>0</v>
      </c>
      <c r="F353" s="31" t="s">
        <v>350</v>
      </c>
      <c r="G353" s="31">
        <v>0</v>
      </c>
      <c r="H353" s="31">
        <v>1</v>
      </c>
      <c r="I353" s="31" t="e">
        <f t="shared" ca="1" si="0"/>
        <v>#NAME?</v>
      </c>
      <c r="L353" s="31">
        <v>0</v>
      </c>
      <c r="M353" s="31">
        <f t="shared" si="1"/>
        <v>1</v>
      </c>
    </row>
    <row r="354" spans="1:13" ht="13">
      <c r="A354" s="42" t="s">
        <v>405</v>
      </c>
      <c r="B354" s="31" t="s">
        <v>50</v>
      </c>
      <c r="D354" s="31">
        <v>0</v>
      </c>
      <c r="E354" s="31">
        <v>0</v>
      </c>
      <c r="F354" s="31" t="s">
        <v>406</v>
      </c>
      <c r="G354" s="31">
        <v>1</v>
      </c>
      <c r="H354" s="31">
        <v>0</v>
      </c>
      <c r="I354" s="31" t="e">
        <f t="shared" ca="1" si="0"/>
        <v>#NAME?</v>
      </c>
      <c r="L354" s="31">
        <v>1</v>
      </c>
      <c r="M354" s="31">
        <f t="shared" si="1"/>
        <v>1</v>
      </c>
    </row>
    <row r="355" spans="1:13" ht="13">
      <c r="A355" s="33" t="s">
        <v>407</v>
      </c>
      <c r="B355" s="31" t="s">
        <v>50</v>
      </c>
      <c r="D355" s="31">
        <v>0</v>
      </c>
      <c r="E355" s="31">
        <v>0</v>
      </c>
      <c r="F355" s="31" t="s">
        <v>400</v>
      </c>
      <c r="G355" s="31">
        <v>1</v>
      </c>
      <c r="H355" s="31">
        <v>0</v>
      </c>
      <c r="I355" s="31" t="e">
        <f t="shared" ca="1" si="0"/>
        <v>#NAME?</v>
      </c>
      <c r="L355" s="31">
        <v>0</v>
      </c>
      <c r="M355" s="31">
        <f t="shared" si="1"/>
        <v>1</v>
      </c>
    </row>
    <row r="356" spans="1:13" ht="13">
      <c r="A356" s="42" t="s">
        <v>408</v>
      </c>
      <c r="B356" s="31" t="s">
        <v>50</v>
      </c>
      <c r="D356" s="31">
        <v>0</v>
      </c>
      <c r="E356" s="31">
        <v>0</v>
      </c>
      <c r="F356" s="31" t="s">
        <v>351</v>
      </c>
      <c r="G356" s="31">
        <v>1</v>
      </c>
      <c r="H356" s="31">
        <v>1</v>
      </c>
      <c r="I356" s="31" t="e">
        <f t="shared" ca="1" si="0"/>
        <v>#NAME?</v>
      </c>
      <c r="J356" s="33" t="s">
        <v>409</v>
      </c>
      <c r="L356" s="31">
        <v>0</v>
      </c>
      <c r="M356" s="31">
        <f t="shared" si="1"/>
        <v>1</v>
      </c>
    </row>
    <row r="357" spans="1:13" ht="13">
      <c r="A357" s="42" t="s">
        <v>410</v>
      </c>
      <c r="B357" s="31" t="s">
        <v>50</v>
      </c>
      <c r="D357" s="31">
        <v>0</v>
      </c>
      <c r="E357" s="31">
        <v>0</v>
      </c>
      <c r="F357" s="31" t="s">
        <v>352</v>
      </c>
      <c r="G357" s="31">
        <v>0</v>
      </c>
      <c r="H357" s="31">
        <v>1</v>
      </c>
      <c r="I357" s="31" t="e">
        <f t="shared" ca="1" si="0"/>
        <v>#NAME?</v>
      </c>
      <c r="L357" s="31">
        <v>1</v>
      </c>
      <c r="M357" s="31">
        <f t="shared" si="1"/>
        <v>1</v>
      </c>
    </row>
    <row r="358" spans="1:13" ht="13">
      <c r="A358" s="42" t="s">
        <v>410</v>
      </c>
      <c r="B358" s="31" t="s">
        <v>50</v>
      </c>
      <c r="D358" s="31">
        <v>0</v>
      </c>
      <c r="E358" s="31">
        <v>0</v>
      </c>
      <c r="F358" s="31" t="s">
        <v>187</v>
      </c>
      <c r="G358" s="31">
        <v>0</v>
      </c>
      <c r="H358" s="31">
        <v>0</v>
      </c>
      <c r="I358" s="31" t="e">
        <f t="shared" ca="1" si="0"/>
        <v>#NAME?</v>
      </c>
      <c r="L358" s="31">
        <v>1</v>
      </c>
      <c r="M358" s="31">
        <f t="shared" si="1"/>
        <v>0</v>
      </c>
    </row>
    <row r="359" spans="1:13" ht="13">
      <c r="A359" s="42" t="s">
        <v>410</v>
      </c>
      <c r="B359" s="31" t="s">
        <v>50</v>
      </c>
      <c r="D359" s="31">
        <v>0</v>
      </c>
      <c r="E359" s="31">
        <v>0</v>
      </c>
      <c r="F359" s="31" t="s">
        <v>190</v>
      </c>
      <c r="G359" s="31">
        <v>0</v>
      </c>
      <c r="H359" s="31">
        <v>0</v>
      </c>
      <c r="I359" s="31" t="e">
        <f t="shared" ca="1" si="0"/>
        <v>#NAME?</v>
      </c>
      <c r="L359" s="31">
        <v>1</v>
      </c>
      <c r="M359" s="31">
        <f t="shared" si="1"/>
        <v>0</v>
      </c>
    </row>
    <row r="360" spans="1:13" ht="13">
      <c r="A360" s="42" t="s">
        <v>410</v>
      </c>
      <c r="B360" s="31" t="s">
        <v>50</v>
      </c>
      <c r="D360" s="31">
        <v>0</v>
      </c>
      <c r="E360" s="31">
        <v>0</v>
      </c>
      <c r="F360" s="31" t="s">
        <v>193</v>
      </c>
      <c r="G360" s="31">
        <v>0</v>
      </c>
      <c r="H360" s="31">
        <v>0</v>
      </c>
      <c r="I360" s="31" t="e">
        <f t="shared" ca="1" si="0"/>
        <v>#NAME?</v>
      </c>
      <c r="L360" s="31">
        <v>1</v>
      </c>
      <c r="M360" s="31">
        <f t="shared" si="1"/>
        <v>0</v>
      </c>
    </row>
    <row r="361" spans="1:13" ht="13">
      <c r="A361" s="42" t="s">
        <v>411</v>
      </c>
      <c r="B361" s="31" t="s">
        <v>50</v>
      </c>
      <c r="D361" s="31">
        <v>0</v>
      </c>
      <c r="E361" s="31">
        <v>1</v>
      </c>
      <c r="F361" s="31" t="s">
        <v>353</v>
      </c>
      <c r="G361" s="31">
        <v>0</v>
      </c>
      <c r="H361" s="31">
        <v>1</v>
      </c>
      <c r="I361" s="31" t="e">
        <f t="shared" ca="1" si="0"/>
        <v>#NAME?</v>
      </c>
      <c r="L361" s="31">
        <v>1</v>
      </c>
      <c r="M361" s="31">
        <f t="shared" si="1"/>
        <v>1</v>
      </c>
    </row>
    <row r="362" spans="1:13" ht="13">
      <c r="A362" s="33" t="s">
        <v>412</v>
      </c>
      <c r="B362" s="31" t="s">
        <v>50</v>
      </c>
      <c r="C362" s="33" t="s">
        <v>413</v>
      </c>
      <c r="D362" s="31">
        <v>0</v>
      </c>
      <c r="E362" s="31">
        <v>0</v>
      </c>
      <c r="F362" s="31" t="s">
        <v>414</v>
      </c>
      <c r="G362" s="31">
        <v>0</v>
      </c>
      <c r="H362" s="31">
        <v>0</v>
      </c>
      <c r="I362" s="31" t="e">
        <f t="shared" ca="1" si="0"/>
        <v>#NAME?</v>
      </c>
      <c r="L362" s="31">
        <v>0</v>
      </c>
      <c r="M362" s="31">
        <f t="shared" si="1"/>
        <v>1</v>
      </c>
    </row>
    <row r="363" spans="1:13" ht="13">
      <c r="A363" s="42" t="s">
        <v>415</v>
      </c>
      <c r="B363" s="31" t="s">
        <v>50</v>
      </c>
      <c r="D363" s="31">
        <v>0</v>
      </c>
      <c r="E363" s="31">
        <v>0</v>
      </c>
      <c r="F363" s="31" t="s">
        <v>354</v>
      </c>
      <c r="G363" s="31">
        <v>0</v>
      </c>
      <c r="H363" s="31">
        <v>1</v>
      </c>
      <c r="I363" s="31" t="e">
        <f t="shared" ca="1" si="0"/>
        <v>#NAME?</v>
      </c>
      <c r="L363" s="31">
        <v>1</v>
      </c>
      <c r="M363" s="31">
        <f t="shared" si="1"/>
        <v>1</v>
      </c>
    </row>
    <row r="364" spans="1:13" ht="13">
      <c r="A364" s="42" t="s">
        <v>415</v>
      </c>
      <c r="B364" s="31" t="s">
        <v>50</v>
      </c>
      <c r="D364" s="31">
        <v>0</v>
      </c>
      <c r="E364" s="31">
        <v>0</v>
      </c>
      <c r="F364" s="31" t="s">
        <v>356</v>
      </c>
      <c r="G364" s="31">
        <v>0</v>
      </c>
      <c r="H364" s="31">
        <v>1</v>
      </c>
      <c r="I364" s="31" t="e">
        <f t="shared" ca="1" si="0"/>
        <v>#NAME?</v>
      </c>
      <c r="L364" s="31">
        <v>1</v>
      </c>
      <c r="M364" s="31">
        <f t="shared" si="1"/>
        <v>0</v>
      </c>
    </row>
    <row r="365" spans="1:13" ht="13">
      <c r="A365" s="42" t="s">
        <v>416</v>
      </c>
      <c r="B365" s="31" t="s">
        <v>50</v>
      </c>
      <c r="D365" s="31">
        <v>0</v>
      </c>
      <c r="E365" s="31">
        <v>0</v>
      </c>
      <c r="F365" s="31" t="s">
        <v>400</v>
      </c>
      <c r="G365" s="31">
        <v>1</v>
      </c>
      <c r="H365" s="31">
        <v>0</v>
      </c>
      <c r="I365" s="31" t="e">
        <f t="shared" ca="1" si="0"/>
        <v>#NAME?</v>
      </c>
      <c r="L365" s="31">
        <v>1</v>
      </c>
      <c r="M365" s="31">
        <f t="shared" si="1"/>
        <v>1</v>
      </c>
    </row>
    <row r="366" spans="1:13" ht="13">
      <c r="A366" s="42" t="s">
        <v>417</v>
      </c>
      <c r="B366" s="31" t="s">
        <v>50</v>
      </c>
      <c r="D366" s="31">
        <v>0</v>
      </c>
      <c r="E366" s="31">
        <v>0</v>
      </c>
      <c r="F366" s="31" t="s">
        <v>400</v>
      </c>
      <c r="G366" s="31">
        <v>1</v>
      </c>
      <c r="H366" s="31">
        <v>0</v>
      </c>
      <c r="I366" s="31" t="e">
        <f t="shared" ca="1" si="0"/>
        <v>#NAME?</v>
      </c>
      <c r="L366" s="31">
        <v>0</v>
      </c>
      <c r="M366" s="31">
        <f t="shared" si="1"/>
        <v>1</v>
      </c>
    </row>
    <row r="367" spans="1:13" ht="13">
      <c r="A367" s="33" t="s">
        <v>418</v>
      </c>
      <c r="B367" s="31" t="s">
        <v>50</v>
      </c>
      <c r="C367" s="33" t="s">
        <v>419</v>
      </c>
      <c r="D367" s="31">
        <v>0</v>
      </c>
      <c r="E367" s="31">
        <v>0</v>
      </c>
      <c r="F367" s="31" t="s">
        <v>420</v>
      </c>
      <c r="G367" s="31">
        <v>1</v>
      </c>
      <c r="H367" s="31">
        <v>1</v>
      </c>
      <c r="I367" s="31" t="e">
        <f t="shared" ca="1" si="0"/>
        <v>#NAME?</v>
      </c>
      <c r="L367" s="31">
        <v>0</v>
      </c>
      <c r="M367" s="31">
        <f t="shared" si="1"/>
        <v>1</v>
      </c>
    </row>
    <row r="368" spans="1:13" ht="13">
      <c r="A368" s="33" t="s">
        <v>418</v>
      </c>
      <c r="B368" s="31" t="s">
        <v>50</v>
      </c>
      <c r="C368" s="33" t="s">
        <v>419</v>
      </c>
      <c r="D368" s="31">
        <v>0</v>
      </c>
      <c r="E368" s="31">
        <v>0</v>
      </c>
      <c r="F368" s="31" t="s">
        <v>129</v>
      </c>
      <c r="G368" s="31">
        <v>1</v>
      </c>
      <c r="H368" s="31">
        <v>1</v>
      </c>
      <c r="I368" s="31" t="e">
        <f t="shared" ca="1" si="0"/>
        <v>#NAME?</v>
      </c>
      <c r="L368" s="31">
        <v>0</v>
      </c>
      <c r="M368" s="31">
        <f t="shared" si="1"/>
        <v>0</v>
      </c>
    </row>
    <row r="369" spans="1:13" ht="13">
      <c r="A369" s="33" t="s">
        <v>421</v>
      </c>
      <c r="B369" s="31" t="s">
        <v>50</v>
      </c>
      <c r="C369" s="33" t="s">
        <v>422</v>
      </c>
      <c r="D369" s="31">
        <v>0</v>
      </c>
      <c r="E369" s="31">
        <v>0</v>
      </c>
      <c r="F369" s="31" t="s">
        <v>357</v>
      </c>
      <c r="G369" s="31">
        <v>0</v>
      </c>
      <c r="H369" s="31">
        <v>1</v>
      </c>
      <c r="I369" s="31" t="e">
        <f t="shared" ca="1" si="0"/>
        <v>#NAME?</v>
      </c>
      <c r="L369" s="31">
        <v>0</v>
      </c>
      <c r="M369" s="31">
        <f t="shared" si="1"/>
        <v>1</v>
      </c>
    </row>
    <row r="370" spans="1:13" ht="13">
      <c r="A370" s="33" t="s">
        <v>421</v>
      </c>
      <c r="B370" s="31" t="s">
        <v>50</v>
      </c>
      <c r="C370" s="33" t="s">
        <v>422</v>
      </c>
      <c r="D370" s="31">
        <v>0</v>
      </c>
      <c r="E370" s="31">
        <v>0</v>
      </c>
      <c r="F370" s="31" t="s">
        <v>423</v>
      </c>
      <c r="G370" s="31">
        <v>0</v>
      </c>
      <c r="H370" s="31">
        <v>1</v>
      </c>
      <c r="I370" s="31" t="e">
        <f t="shared" ca="1" si="0"/>
        <v>#NAME?</v>
      </c>
      <c r="L370" s="31">
        <v>0</v>
      </c>
      <c r="M370" s="31">
        <f t="shared" si="1"/>
        <v>0</v>
      </c>
    </row>
    <row r="371" spans="1:13" ht="13">
      <c r="A371" s="42" t="s">
        <v>424</v>
      </c>
      <c r="B371" s="31" t="s">
        <v>50</v>
      </c>
      <c r="D371" s="31">
        <v>0</v>
      </c>
      <c r="E371" s="31">
        <v>0</v>
      </c>
      <c r="F371" s="31" t="s">
        <v>760</v>
      </c>
      <c r="G371" s="31">
        <v>1</v>
      </c>
      <c r="H371" s="31">
        <v>1</v>
      </c>
      <c r="I371" s="31" t="e">
        <f t="shared" ca="1" si="0"/>
        <v>#NAME?</v>
      </c>
      <c r="L371" s="31">
        <v>1</v>
      </c>
      <c r="M371" s="31">
        <f t="shared" si="1"/>
        <v>1</v>
      </c>
    </row>
    <row r="372" spans="1:13" ht="13">
      <c r="A372" s="33" t="s">
        <v>425</v>
      </c>
      <c r="B372" s="31" t="s">
        <v>50</v>
      </c>
      <c r="D372" s="31">
        <v>0</v>
      </c>
      <c r="E372" s="31">
        <v>0</v>
      </c>
      <c r="F372" s="31" t="s">
        <v>42</v>
      </c>
      <c r="G372" s="31">
        <v>0</v>
      </c>
      <c r="H372" s="31">
        <v>0</v>
      </c>
      <c r="I372" s="31" t="e">
        <f t="shared" ca="1" si="0"/>
        <v>#NAME?</v>
      </c>
      <c r="L372" s="31">
        <v>1</v>
      </c>
      <c r="M372" s="31">
        <f t="shared" si="1"/>
        <v>1</v>
      </c>
    </row>
    <row r="373" spans="1:13" ht="13">
      <c r="A373" s="33" t="s">
        <v>426</v>
      </c>
      <c r="B373" s="31" t="s">
        <v>50</v>
      </c>
      <c r="C373" s="33" t="s">
        <v>427</v>
      </c>
      <c r="D373" s="31">
        <v>0</v>
      </c>
      <c r="E373" s="31">
        <v>0</v>
      </c>
      <c r="F373" s="31" t="s">
        <v>201</v>
      </c>
      <c r="G373" s="31">
        <v>1</v>
      </c>
      <c r="H373" s="31">
        <v>0</v>
      </c>
      <c r="I373" s="31" t="e">
        <f t="shared" ca="1" si="0"/>
        <v>#NAME?</v>
      </c>
      <c r="L373" s="31">
        <v>0</v>
      </c>
      <c r="M373" s="31">
        <f t="shared" si="1"/>
        <v>1</v>
      </c>
    </row>
    <row r="374" spans="1:13" ht="13">
      <c r="A374" s="46" t="s">
        <v>761</v>
      </c>
      <c r="B374" s="31" t="s">
        <v>62</v>
      </c>
      <c r="C374" s="33" t="s">
        <v>762</v>
      </c>
      <c r="D374" s="31">
        <v>0</v>
      </c>
      <c r="E374" s="31">
        <v>0</v>
      </c>
      <c r="F374" s="31" t="s">
        <v>763</v>
      </c>
      <c r="G374" s="31">
        <v>0</v>
      </c>
      <c r="H374" s="31">
        <v>1</v>
      </c>
      <c r="I374" s="31" t="e">
        <f t="shared" ca="1" si="0"/>
        <v>#NAME?</v>
      </c>
      <c r="L374" s="31">
        <v>0</v>
      </c>
      <c r="M374" s="31">
        <f t="shared" si="1"/>
        <v>1</v>
      </c>
    </row>
    <row r="375" spans="1:13" ht="13">
      <c r="A375" s="46" t="s">
        <v>764</v>
      </c>
      <c r="B375" s="31" t="s">
        <v>62</v>
      </c>
      <c r="C375" s="33" t="s">
        <v>765</v>
      </c>
      <c r="D375" s="31">
        <v>0</v>
      </c>
      <c r="E375" s="31">
        <v>1</v>
      </c>
      <c r="F375" s="31" t="s">
        <v>766</v>
      </c>
      <c r="G375" s="31">
        <v>0</v>
      </c>
      <c r="H375" s="31">
        <v>1</v>
      </c>
      <c r="I375" s="31" t="e">
        <f t="shared" ca="1" si="0"/>
        <v>#NAME?</v>
      </c>
      <c r="L375" s="31">
        <v>0</v>
      </c>
      <c r="M375" s="31">
        <f t="shared" si="1"/>
        <v>1</v>
      </c>
    </row>
    <row r="376" spans="1:13" ht="13">
      <c r="A376" s="46" t="s">
        <v>767</v>
      </c>
      <c r="B376" s="31" t="s">
        <v>62</v>
      </c>
      <c r="C376" s="33" t="s">
        <v>768</v>
      </c>
      <c r="D376" s="31">
        <v>0</v>
      </c>
      <c r="E376" s="31">
        <v>1</v>
      </c>
      <c r="F376" s="31" t="s">
        <v>769</v>
      </c>
      <c r="G376" s="31">
        <v>0</v>
      </c>
      <c r="H376" s="31">
        <v>1</v>
      </c>
      <c r="I376" s="31" t="e">
        <f t="shared" ca="1" si="0"/>
        <v>#NAME?</v>
      </c>
      <c r="K376" s="31" t="s">
        <v>770</v>
      </c>
      <c r="L376" s="31">
        <v>0</v>
      </c>
      <c r="M376" s="31">
        <f t="shared" si="1"/>
        <v>1</v>
      </c>
    </row>
    <row r="377" spans="1:13" ht="13">
      <c r="A377" s="46" t="s">
        <v>767</v>
      </c>
      <c r="B377" s="31" t="s">
        <v>62</v>
      </c>
      <c r="D377" s="31">
        <v>0</v>
      </c>
      <c r="E377" s="31">
        <v>1</v>
      </c>
      <c r="F377" s="31" t="s">
        <v>771</v>
      </c>
      <c r="G377" s="31">
        <v>0</v>
      </c>
      <c r="H377" s="31">
        <v>1</v>
      </c>
      <c r="I377" s="31" t="e">
        <f t="shared" ca="1" si="0"/>
        <v>#NAME?</v>
      </c>
      <c r="M377" s="31">
        <f t="shared" si="1"/>
        <v>0</v>
      </c>
    </row>
    <row r="378" spans="1:13" ht="13">
      <c r="A378" s="46" t="s">
        <v>767</v>
      </c>
      <c r="B378" s="31" t="s">
        <v>62</v>
      </c>
      <c r="D378" s="31">
        <v>0</v>
      </c>
      <c r="E378" s="31">
        <v>1</v>
      </c>
      <c r="F378" s="31" t="s">
        <v>772</v>
      </c>
      <c r="G378" s="31">
        <v>0</v>
      </c>
      <c r="H378" s="31">
        <v>1</v>
      </c>
      <c r="I378" s="31" t="e">
        <f t="shared" ca="1" si="0"/>
        <v>#NAME?</v>
      </c>
      <c r="M378" s="31">
        <f t="shared" si="1"/>
        <v>0</v>
      </c>
    </row>
    <row r="379" spans="1:13" ht="13">
      <c r="A379" s="34" t="s">
        <v>773</v>
      </c>
      <c r="B379" s="31" t="s">
        <v>62</v>
      </c>
      <c r="C379" s="33" t="s">
        <v>774</v>
      </c>
      <c r="D379" s="31">
        <v>0</v>
      </c>
      <c r="E379" s="31">
        <v>0</v>
      </c>
      <c r="F379" s="31" t="s">
        <v>775</v>
      </c>
      <c r="G379" s="31">
        <v>0</v>
      </c>
      <c r="H379" s="31">
        <v>1</v>
      </c>
      <c r="I379" s="31" t="e">
        <f t="shared" ca="1" si="0"/>
        <v>#NAME?</v>
      </c>
      <c r="L379" s="31">
        <v>0</v>
      </c>
      <c r="M379" s="31">
        <f t="shared" si="1"/>
        <v>1</v>
      </c>
    </row>
    <row r="380" spans="1:13" ht="13">
      <c r="A380" s="34" t="s">
        <v>773</v>
      </c>
      <c r="B380" s="31" t="s">
        <v>62</v>
      </c>
      <c r="D380" s="31">
        <v>0</v>
      </c>
      <c r="E380" s="31">
        <v>0</v>
      </c>
      <c r="F380" s="31" t="s">
        <v>776</v>
      </c>
      <c r="G380" s="31">
        <v>0</v>
      </c>
      <c r="H380" s="31">
        <v>1</v>
      </c>
      <c r="I380" s="31" t="e">
        <f t="shared" ca="1" si="0"/>
        <v>#NAME?</v>
      </c>
      <c r="M380" s="31">
        <f t="shared" si="1"/>
        <v>0</v>
      </c>
    </row>
    <row r="381" spans="1:13" ht="13">
      <c r="A381" s="34" t="s">
        <v>777</v>
      </c>
      <c r="B381" s="31" t="s">
        <v>62</v>
      </c>
      <c r="C381" s="33" t="s">
        <v>778</v>
      </c>
      <c r="D381" s="31">
        <v>0</v>
      </c>
      <c r="E381" s="31">
        <v>1</v>
      </c>
      <c r="F381" s="31" t="s">
        <v>779</v>
      </c>
      <c r="G381" s="31">
        <v>0</v>
      </c>
      <c r="H381" s="31">
        <v>1</v>
      </c>
      <c r="I381" s="31" t="e">
        <f t="shared" ca="1" si="0"/>
        <v>#NAME?</v>
      </c>
      <c r="K381" s="31" t="s">
        <v>770</v>
      </c>
      <c r="L381" s="31">
        <v>0</v>
      </c>
      <c r="M381" s="31">
        <f t="shared" si="1"/>
        <v>1</v>
      </c>
    </row>
    <row r="382" spans="1:13" ht="13">
      <c r="A382" s="34" t="s">
        <v>777</v>
      </c>
      <c r="B382" s="31" t="s">
        <v>62</v>
      </c>
      <c r="D382" s="31">
        <v>0</v>
      </c>
      <c r="E382" s="31">
        <v>1</v>
      </c>
      <c r="F382" s="31" t="s">
        <v>780</v>
      </c>
      <c r="G382" s="31">
        <v>0</v>
      </c>
      <c r="H382" s="31">
        <v>1</v>
      </c>
      <c r="I382" s="31" t="e">
        <f t="shared" ca="1" si="0"/>
        <v>#NAME?</v>
      </c>
      <c r="M382" s="31">
        <f t="shared" si="1"/>
        <v>0</v>
      </c>
    </row>
    <row r="383" spans="1:13" ht="13">
      <c r="A383" s="34" t="s">
        <v>777</v>
      </c>
      <c r="B383" s="31" t="s">
        <v>62</v>
      </c>
      <c r="D383" s="31">
        <v>0</v>
      </c>
      <c r="E383" s="31">
        <v>1</v>
      </c>
      <c r="F383" s="31" t="s">
        <v>781</v>
      </c>
      <c r="G383" s="31">
        <v>0</v>
      </c>
      <c r="H383" s="31">
        <v>1</v>
      </c>
      <c r="I383" s="31" t="e">
        <f t="shared" ca="1" si="0"/>
        <v>#NAME?</v>
      </c>
      <c r="M383" s="31">
        <f t="shared" si="1"/>
        <v>0</v>
      </c>
    </row>
    <row r="384" spans="1:13" ht="13">
      <c r="A384" s="34" t="s">
        <v>777</v>
      </c>
      <c r="B384" s="31" t="s">
        <v>62</v>
      </c>
      <c r="D384" s="31">
        <v>0</v>
      </c>
      <c r="E384" s="31">
        <v>1</v>
      </c>
      <c r="F384" s="31" t="s">
        <v>782</v>
      </c>
      <c r="G384" s="31">
        <v>0</v>
      </c>
      <c r="H384" s="31">
        <v>1</v>
      </c>
      <c r="I384" s="31" t="e">
        <f t="shared" ca="1" si="0"/>
        <v>#NAME?</v>
      </c>
      <c r="M384" s="31">
        <f t="shared" si="1"/>
        <v>0</v>
      </c>
    </row>
    <row r="385" spans="1:13" ht="13">
      <c r="A385" s="34" t="s">
        <v>783</v>
      </c>
      <c r="B385" s="31" t="s">
        <v>62</v>
      </c>
      <c r="C385" s="33" t="s">
        <v>784</v>
      </c>
      <c r="D385" s="31">
        <v>0</v>
      </c>
      <c r="E385" s="31">
        <v>1</v>
      </c>
      <c r="F385" s="31" t="s">
        <v>785</v>
      </c>
      <c r="G385" s="31">
        <v>0</v>
      </c>
      <c r="H385" s="31">
        <v>1</v>
      </c>
      <c r="I385" s="31" t="e">
        <f t="shared" ca="1" si="0"/>
        <v>#NAME?</v>
      </c>
      <c r="L385" s="31">
        <v>1</v>
      </c>
      <c r="M385" s="31">
        <f t="shared" si="1"/>
        <v>1</v>
      </c>
    </row>
    <row r="386" spans="1:13" ht="13">
      <c r="A386" s="34" t="s">
        <v>783</v>
      </c>
      <c r="B386" s="31" t="s">
        <v>62</v>
      </c>
      <c r="D386" s="31">
        <v>0</v>
      </c>
      <c r="E386" s="31">
        <v>1</v>
      </c>
      <c r="F386" s="31" t="s">
        <v>786</v>
      </c>
      <c r="G386" s="31">
        <v>0</v>
      </c>
      <c r="H386" s="31">
        <v>1</v>
      </c>
      <c r="I386" s="31" t="e">
        <f t="shared" ca="1" si="0"/>
        <v>#NAME?</v>
      </c>
      <c r="M386" s="31">
        <f t="shared" si="1"/>
        <v>0</v>
      </c>
    </row>
    <row r="387" spans="1:13" ht="13">
      <c r="A387" s="34" t="s">
        <v>783</v>
      </c>
      <c r="B387" s="31" t="s">
        <v>62</v>
      </c>
      <c r="D387" s="31">
        <v>0</v>
      </c>
      <c r="E387" s="31">
        <v>1</v>
      </c>
      <c r="F387" s="31" t="s">
        <v>787</v>
      </c>
      <c r="G387" s="31">
        <v>0</v>
      </c>
      <c r="H387" s="31">
        <v>1</v>
      </c>
      <c r="I387" s="31" t="e">
        <f t="shared" ca="1" si="0"/>
        <v>#NAME?</v>
      </c>
      <c r="M387" s="31">
        <f t="shared" si="1"/>
        <v>0</v>
      </c>
    </row>
    <row r="388" spans="1:13" ht="13">
      <c r="A388" s="34" t="s">
        <v>783</v>
      </c>
      <c r="B388" s="31" t="s">
        <v>62</v>
      </c>
      <c r="D388" s="31">
        <v>0</v>
      </c>
      <c r="E388" s="31">
        <v>1</v>
      </c>
      <c r="F388" s="31" t="s">
        <v>788</v>
      </c>
      <c r="G388" s="31">
        <v>0</v>
      </c>
      <c r="H388" s="31">
        <v>1</v>
      </c>
      <c r="I388" s="31" t="e">
        <f t="shared" ca="1" si="0"/>
        <v>#NAME?</v>
      </c>
      <c r="M388" s="31">
        <f t="shared" si="1"/>
        <v>0</v>
      </c>
    </row>
    <row r="389" spans="1:13" ht="13">
      <c r="A389" s="46" t="s">
        <v>789</v>
      </c>
      <c r="B389" s="31" t="s">
        <v>62</v>
      </c>
      <c r="C389" s="33" t="s">
        <v>790</v>
      </c>
      <c r="D389" s="31">
        <v>0</v>
      </c>
      <c r="E389" s="31">
        <v>0</v>
      </c>
      <c r="F389" s="31" t="s">
        <v>791</v>
      </c>
      <c r="G389" s="31">
        <v>0</v>
      </c>
      <c r="H389" s="31">
        <v>1</v>
      </c>
      <c r="I389" s="31" t="e">
        <f t="shared" ca="1" si="0"/>
        <v>#NAME?</v>
      </c>
      <c r="L389" s="31">
        <v>0</v>
      </c>
      <c r="M389" s="31">
        <f t="shared" si="1"/>
        <v>1</v>
      </c>
    </row>
    <row r="390" spans="1:13" ht="13">
      <c r="A390" s="46" t="s">
        <v>789</v>
      </c>
      <c r="B390" s="31" t="s">
        <v>62</v>
      </c>
      <c r="D390" s="31">
        <v>0</v>
      </c>
      <c r="E390" s="31">
        <v>0</v>
      </c>
      <c r="F390" s="31" t="s">
        <v>792</v>
      </c>
      <c r="G390" s="31">
        <v>0</v>
      </c>
      <c r="H390" s="31">
        <v>1</v>
      </c>
      <c r="I390" s="31" t="e">
        <f t="shared" ca="1" si="0"/>
        <v>#NAME?</v>
      </c>
      <c r="M390" s="31">
        <f t="shared" si="1"/>
        <v>0</v>
      </c>
    </row>
    <row r="391" spans="1:13" ht="13">
      <c r="A391" s="46" t="s">
        <v>789</v>
      </c>
      <c r="B391" s="31" t="s">
        <v>62</v>
      </c>
      <c r="D391" s="31">
        <v>0</v>
      </c>
      <c r="E391" s="31">
        <v>0</v>
      </c>
      <c r="F391" s="31" t="s">
        <v>793</v>
      </c>
      <c r="G391" s="31">
        <v>0</v>
      </c>
      <c r="H391" s="31">
        <v>1</v>
      </c>
      <c r="I391" s="31" t="e">
        <f t="shared" ca="1" si="0"/>
        <v>#NAME?</v>
      </c>
      <c r="M391" s="31">
        <f t="shared" si="1"/>
        <v>0</v>
      </c>
    </row>
    <row r="392" spans="1:13" ht="13">
      <c r="A392" s="46" t="s">
        <v>794</v>
      </c>
      <c r="B392" s="31" t="s">
        <v>62</v>
      </c>
      <c r="C392" s="33" t="s">
        <v>795</v>
      </c>
      <c r="D392" s="31">
        <v>0</v>
      </c>
      <c r="E392" s="31">
        <v>0</v>
      </c>
      <c r="F392" s="31" t="s">
        <v>538</v>
      </c>
      <c r="G392" s="31">
        <v>0</v>
      </c>
      <c r="H392" s="31">
        <v>1</v>
      </c>
      <c r="I392" s="31" t="e">
        <f t="shared" ca="1" si="0"/>
        <v>#NAME?</v>
      </c>
      <c r="L392" s="31">
        <v>1</v>
      </c>
      <c r="M392" s="31">
        <f t="shared" si="1"/>
        <v>1</v>
      </c>
    </row>
    <row r="393" spans="1:13" ht="13">
      <c r="A393" s="46" t="s">
        <v>794</v>
      </c>
      <c r="B393" s="31" t="s">
        <v>62</v>
      </c>
      <c r="D393" s="31">
        <v>0</v>
      </c>
      <c r="E393" s="31">
        <v>0</v>
      </c>
      <c r="F393" s="31" t="s">
        <v>796</v>
      </c>
      <c r="G393" s="31">
        <v>0</v>
      </c>
      <c r="H393" s="31">
        <v>1</v>
      </c>
      <c r="I393" s="31" t="e">
        <f t="shared" ca="1" si="0"/>
        <v>#NAME?</v>
      </c>
      <c r="M393" s="31">
        <f t="shared" si="1"/>
        <v>0</v>
      </c>
    </row>
    <row r="394" spans="1:13" ht="13">
      <c r="A394" s="46" t="s">
        <v>794</v>
      </c>
      <c r="B394" s="31" t="s">
        <v>62</v>
      </c>
      <c r="D394" s="31">
        <v>0</v>
      </c>
      <c r="E394" s="31">
        <v>0</v>
      </c>
      <c r="F394" s="31" t="s">
        <v>797</v>
      </c>
      <c r="G394" s="31">
        <v>0</v>
      </c>
      <c r="H394" s="31">
        <v>1</v>
      </c>
      <c r="I394" s="31" t="e">
        <f t="shared" ca="1" si="0"/>
        <v>#NAME?</v>
      </c>
      <c r="M394" s="31">
        <f t="shared" si="1"/>
        <v>0</v>
      </c>
    </row>
    <row r="395" spans="1:13" ht="13">
      <c r="A395" s="46" t="s">
        <v>794</v>
      </c>
      <c r="B395" s="31" t="s">
        <v>62</v>
      </c>
      <c r="D395" s="31">
        <v>0</v>
      </c>
      <c r="E395" s="31">
        <v>0</v>
      </c>
      <c r="F395" s="31" t="s">
        <v>798</v>
      </c>
      <c r="G395" s="31">
        <v>0</v>
      </c>
      <c r="H395" s="31">
        <v>1</v>
      </c>
      <c r="I395" s="31" t="e">
        <f t="shared" ca="1" si="0"/>
        <v>#NAME?</v>
      </c>
      <c r="M395" s="31">
        <f t="shared" si="1"/>
        <v>0</v>
      </c>
    </row>
    <row r="396" spans="1:13" ht="13">
      <c r="A396" s="46" t="s">
        <v>794</v>
      </c>
      <c r="B396" s="31" t="s">
        <v>62</v>
      </c>
      <c r="D396" s="31">
        <v>0</v>
      </c>
      <c r="E396" s="31">
        <v>0</v>
      </c>
      <c r="F396" s="31" t="s">
        <v>799</v>
      </c>
      <c r="G396" s="31">
        <v>0</v>
      </c>
      <c r="H396" s="31">
        <v>1</v>
      </c>
      <c r="I396" s="31" t="e">
        <f t="shared" ca="1" si="0"/>
        <v>#NAME?</v>
      </c>
      <c r="M396" s="31">
        <f t="shared" si="1"/>
        <v>0</v>
      </c>
    </row>
    <row r="397" spans="1:13" ht="13">
      <c r="A397" s="46" t="s">
        <v>800</v>
      </c>
      <c r="B397" s="31" t="s">
        <v>62</v>
      </c>
      <c r="C397" s="33" t="s">
        <v>801</v>
      </c>
      <c r="D397" s="31">
        <v>0</v>
      </c>
      <c r="E397" s="31">
        <v>0</v>
      </c>
      <c r="F397" s="31" t="s">
        <v>802</v>
      </c>
      <c r="G397" s="31">
        <v>0</v>
      </c>
      <c r="H397" s="31">
        <v>1</v>
      </c>
      <c r="I397" s="31" t="e">
        <f t="shared" ca="1" si="0"/>
        <v>#NAME?</v>
      </c>
      <c r="L397" s="31">
        <v>1</v>
      </c>
      <c r="M397" s="31">
        <f t="shared" si="1"/>
        <v>1</v>
      </c>
    </row>
    <row r="398" spans="1:13" ht="13">
      <c r="A398" s="46" t="s">
        <v>800</v>
      </c>
      <c r="B398" s="31" t="s">
        <v>62</v>
      </c>
      <c r="D398" s="31">
        <v>0</v>
      </c>
      <c r="E398" s="31">
        <v>0</v>
      </c>
      <c r="F398" s="31" t="s">
        <v>803</v>
      </c>
      <c r="G398" s="31">
        <v>0</v>
      </c>
      <c r="H398" s="31">
        <v>1</v>
      </c>
      <c r="I398" s="31" t="e">
        <f t="shared" ca="1" si="0"/>
        <v>#NAME?</v>
      </c>
      <c r="M398" s="31">
        <f t="shared" si="1"/>
        <v>0</v>
      </c>
    </row>
    <row r="399" spans="1:13" ht="13">
      <c r="A399" s="33" t="str">
        <f t="shared" ref="A399:A402" si="2">HYPERLINK("http://aclweb.org/anthology/N18-1006","Improving Character-based Decoding Using Target-Side Morphological Information for Neural Machine Translation")</f>
        <v>Improving Character-based Decoding Using Target-Side Morphological Information for Neural Machine Translation</v>
      </c>
      <c r="B399" s="31" t="s">
        <v>62</v>
      </c>
      <c r="C399" s="33" t="s">
        <v>804</v>
      </c>
      <c r="D399" s="31">
        <v>0</v>
      </c>
      <c r="E399" s="31">
        <v>0</v>
      </c>
      <c r="F399" s="31" t="s">
        <v>805</v>
      </c>
      <c r="G399" s="31">
        <v>0</v>
      </c>
      <c r="H399" s="31">
        <v>1</v>
      </c>
      <c r="I399" s="31" t="e">
        <f t="shared" ca="1" si="0"/>
        <v>#NAME?</v>
      </c>
      <c r="L399" s="31">
        <v>0</v>
      </c>
      <c r="M399" s="31">
        <f t="shared" si="1"/>
        <v>1</v>
      </c>
    </row>
    <row r="400" spans="1:13" ht="13">
      <c r="A400" s="33" t="str">
        <f t="shared" si="2"/>
        <v>Improving Character-based Decoding Using Target-Side Morphological Information for Neural Machine Translation</v>
      </c>
      <c r="B400" s="31" t="s">
        <v>62</v>
      </c>
      <c r="C400" s="31" t="s">
        <v>806</v>
      </c>
      <c r="D400" s="31">
        <v>0</v>
      </c>
      <c r="E400" s="31">
        <v>0</v>
      </c>
      <c r="F400" s="31" t="s">
        <v>807</v>
      </c>
      <c r="G400" s="31">
        <v>0</v>
      </c>
      <c r="H400" s="31">
        <v>1</v>
      </c>
      <c r="I400" s="31" t="e">
        <f t="shared" ca="1" si="0"/>
        <v>#NAME?</v>
      </c>
      <c r="M400" s="31">
        <f t="shared" si="1"/>
        <v>0</v>
      </c>
    </row>
    <row r="401" spans="1:13" ht="13">
      <c r="A401" s="33" t="str">
        <f t="shared" si="2"/>
        <v>Improving Character-based Decoding Using Target-Side Morphological Information for Neural Machine Translation</v>
      </c>
      <c r="B401" s="31" t="s">
        <v>62</v>
      </c>
      <c r="C401" s="31" t="s">
        <v>808</v>
      </c>
      <c r="D401" s="31">
        <v>0</v>
      </c>
      <c r="E401" s="31">
        <v>0</v>
      </c>
      <c r="F401" s="31" t="s">
        <v>809</v>
      </c>
      <c r="G401" s="31">
        <v>0</v>
      </c>
      <c r="H401" s="31">
        <v>1</v>
      </c>
      <c r="I401" s="31" t="e">
        <f t="shared" ca="1" si="0"/>
        <v>#NAME?</v>
      </c>
      <c r="M401" s="31">
        <f t="shared" si="1"/>
        <v>0</v>
      </c>
    </row>
    <row r="402" spans="1:13" ht="13">
      <c r="A402" s="33" t="str">
        <f t="shared" si="2"/>
        <v>Improving Character-based Decoding Using Target-Side Morphological Information for Neural Machine Translation</v>
      </c>
      <c r="B402" s="31" t="s">
        <v>62</v>
      </c>
      <c r="C402" s="31" t="s">
        <v>810</v>
      </c>
      <c r="D402" s="31">
        <v>0</v>
      </c>
      <c r="E402" s="31">
        <v>0</v>
      </c>
      <c r="F402" s="31" t="s">
        <v>811</v>
      </c>
      <c r="G402" s="31">
        <v>0</v>
      </c>
      <c r="H402" s="31">
        <v>1</v>
      </c>
      <c r="I402" s="31" t="e">
        <f t="shared" ca="1" si="0"/>
        <v>#NAME?</v>
      </c>
      <c r="M402" s="31">
        <f t="shared" si="1"/>
        <v>0</v>
      </c>
    </row>
    <row r="403" spans="1:13" ht="13">
      <c r="A403" s="33" t="str">
        <f t="shared" ref="A403:A404" si="3">HYPERLINK("http://aclweb.org/anthology/N18-1007","Parsing Speech: A Neural Approach to Integrating Lexical and Acoustic-Prosodic Information")</f>
        <v>Parsing Speech: A Neural Approach to Integrating Lexical and Acoustic-Prosodic Information</v>
      </c>
      <c r="B403" s="31" t="s">
        <v>62</v>
      </c>
      <c r="C403" s="33" t="s">
        <v>806</v>
      </c>
      <c r="D403" s="31">
        <v>0</v>
      </c>
      <c r="E403" s="31">
        <v>1</v>
      </c>
      <c r="F403" s="31" t="s">
        <v>812</v>
      </c>
      <c r="G403" s="31">
        <v>0</v>
      </c>
      <c r="H403" s="31">
        <v>1</v>
      </c>
      <c r="I403" s="31" t="e">
        <f t="shared" ca="1" si="0"/>
        <v>#NAME?</v>
      </c>
      <c r="L403" s="31">
        <v>1</v>
      </c>
      <c r="M403" s="31">
        <f t="shared" si="1"/>
        <v>1</v>
      </c>
    </row>
    <row r="404" spans="1:13" ht="13">
      <c r="A404" s="33" t="str">
        <f t="shared" si="3"/>
        <v>Parsing Speech: A Neural Approach to Integrating Lexical and Acoustic-Prosodic Information</v>
      </c>
      <c r="B404" s="31" t="s">
        <v>62</v>
      </c>
      <c r="C404" s="31" t="s">
        <v>808</v>
      </c>
      <c r="D404" s="31">
        <v>0</v>
      </c>
      <c r="E404" s="31">
        <v>1</v>
      </c>
      <c r="F404" s="31" t="s">
        <v>813</v>
      </c>
      <c r="G404" s="31">
        <v>0</v>
      </c>
      <c r="H404" s="31">
        <v>1</v>
      </c>
      <c r="I404" s="31" t="e">
        <f t="shared" ca="1" si="0"/>
        <v>#NAME?</v>
      </c>
      <c r="M404" s="31">
        <f t="shared" si="1"/>
        <v>0</v>
      </c>
    </row>
    <row r="405" spans="1:13" ht="13">
      <c r="A405" s="33" t="str">
        <f t="shared" ref="A405:A409" si="4">HYPERLINK("http://aclweb.org/anthology/N18-1008","Tied Multitask Learning for Neural Speech Translation")</f>
        <v>Tied Multitask Learning for Neural Speech Translation</v>
      </c>
      <c r="B405" s="31" t="s">
        <v>62</v>
      </c>
      <c r="C405" s="33" t="s">
        <v>808</v>
      </c>
      <c r="D405" s="31">
        <v>0</v>
      </c>
      <c r="E405" s="31">
        <v>1</v>
      </c>
      <c r="F405" s="31" t="s">
        <v>814</v>
      </c>
      <c r="G405" s="31">
        <v>0</v>
      </c>
      <c r="H405" s="31">
        <v>1</v>
      </c>
      <c r="I405" s="31" t="e">
        <f t="shared" ca="1" si="0"/>
        <v>#NAME?</v>
      </c>
      <c r="L405" s="31">
        <v>0</v>
      </c>
      <c r="M405" s="31">
        <f t="shared" si="1"/>
        <v>1</v>
      </c>
    </row>
    <row r="406" spans="1:13" ht="13">
      <c r="A406" s="33" t="str">
        <f t="shared" si="4"/>
        <v>Tied Multitask Learning for Neural Speech Translation</v>
      </c>
      <c r="B406" s="31" t="s">
        <v>62</v>
      </c>
      <c r="C406" s="31" t="s">
        <v>810</v>
      </c>
      <c r="D406" s="31">
        <v>0</v>
      </c>
      <c r="E406" s="31">
        <v>1</v>
      </c>
      <c r="F406" s="31" t="s">
        <v>815</v>
      </c>
      <c r="G406" s="31">
        <v>0</v>
      </c>
      <c r="H406" s="31">
        <v>1</v>
      </c>
      <c r="I406" s="31" t="e">
        <f t="shared" ca="1" si="0"/>
        <v>#NAME?</v>
      </c>
      <c r="M406" s="31">
        <f t="shared" si="1"/>
        <v>0</v>
      </c>
    </row>
    <row r="407" spans="1:13" ht="13">
      <c r="A407" s="33" t="str">
        <f t="shared" si="4"/>
        <v>Tied Multitask Learning for Neural Speech Translation</v>
      </c>
      <c r="B407" s="31" t="s">
        <v>62</v>
      </c>
      <c r="C407" s="31" t="s">
        <v>816</v>
      </c>
      <c r="D407" s="31">
        <v>0</v>
      </c>
      <c r="E407" s="31">
        <v>1</v>
      </c>
      <c r="F407" s="31" t="s">
        <v>817</v>
      </c>
      <c r="G407" s="31">
        <v>0</v>
      </c>
      <c r="H407" s="31">
        <v>1</v>
      </c>
      <c r="I407" s="31" t="e">
        <f t="shared" ca="1" si="0"/>
        <v>#NAME?</v>
      </c>
      <c r="M407" s="31">
        <f t="shared" si="1"/>
        <v>0</v>
      </c>
    </row>
    <row r="408" spans="1:13" ht="13">
      <c r="A408" s="33" t="str">
        <f t="shared" si="4"/>
        <v>Tied Multitask Learning for Neural Speech Translation</v>
      </c>
      <c r="B408" s="31" t="s">
        <v>62</v>
      </c>
      <c r="C408" s="31" t="s">
        <v>818</v>
      </c>
      <c r="D408" s="31">
        <v>0</v>
      </c>
      <c r="E408" s="31">
        <v>1</v>
      </c>
      <c r="F408" s="31" t="s">
        <v>819</v>
      </c>
      <c r="G408" s="31">
        <v>0</v>
      </c>
      <c r="H408" s="31">
        <v>1</v>
      </c>
      <c r="I408" s="31" t="e">
        <f t="shared" ca="1" si="0"/>
        <v>#NAME?</v>
      </c>
      <c r="M408" s="31">
        <f t="shared" si="1"/>
        <v>0</v>
      </c>
    </row>
    <row r="409" spans="1:13" ht="13">
      <c r="A409" s="33" t="str">
        <f t="shared" si="4"/>
        <v>Tied Multitask Learning for Neural Speech Translation</v>
      </c>
      <c r="B409" s="31" t="s">
        <v>62</v>
      </c>
      <c r="C409" s="31" t="s">
        <v>820</v>
      </c>
      <c r="D409" s="31">
        <v>0</v>
      </c>
      <c r="E409" s="31">
        <v>1</v>
      </c>
      <c r="F409" s="31" t="s">
        <v>821</v>
      </c>
      <c r="G409" s="31">
        <v>0</v>
      </c>
      <c r="H409" s="31">
        <v>1</v>
      </c>
      <c r="I409" s="31" t="e">
        <f t="shared" ca="1" si="0"/>
        <v>#NAME?</v>
      </c>
      <c r="M409" s="31">
        <f t="shared" si="1"/>
        <v>0</v>
      </c>
    </row>
    <row r="410" spans="1:13" ht="13">
      <c r="A410" s="33" t="str">
        <f>HYPERLINK("http://aclweb.org/anthology/D18-1363","Neural Transductive Learning and Beyond: Morphological Generation in the Minimal-Resource Setting")</f>
        <v>Neural Transductive Learning and Beyond: Morphological Generation in the Minimal-Resource Setting</v>
      </c>
      <c r="B410" s="31" t="s">
        <v>62</v>
      </c>
      <c r="C410" s="33" t="s">
        <v>822</v>
      </c>
      <c r="D410" s="31">
        <v>0</v>
      </c>
      <c r="E410" s="31">
        <v>0</v>
      </c>
      <c r="F410" s="31" t="s">
        <v>823</v>
      </c>
      <c r="G410" s="31">
        <v>0</v>
      </c>
      <c r="H410" s="31">
        <v>1</v>
      </c>
      <c r="I410" s="31" t="e">
        <f t="shared" ca="1" si="0"/>
        <v>#NAME?</v>
      </c>
      <c r="L410" s="31">
        <v>0</v>
      </c>
      <c r="M410" s="31">
        <f t="shared" si="1"/>
        <v>1</v>
      </c>
    </row>
    <row r="411" spans="1:13" ht="13">
      <c r="A411" s="33" t="str">
        <f>HYPERLINK("http://aclweb.org/anthology/D18-1090","Automatic Essay Scoring Incorporating Rating Schema via Reinforcement Learning")</f>
        <v>Automatic Essay Scoring Incorporating Rating Schema via Reinforcement Learning</v>
      </c>
      <c r="B411" s="31" t="s">
        <v>62</v>
      </c>
      <c r="C411" s="33" t="s">
        <v>824</v>
      </c>
      <c r="D411" s="31">
        <v>0</v>
      </c>
      <c r="E411" s="31">
        <v>0</v>
      </c>
      <c r="F411" s="31" t="s">
        <v>825</v>
      </c>
      <c r="G411" s="31">
        <v>0</v>
      </c>
      <c r="H411" s="31">
        <v>1</v>
      </c>
      <c r="I411" s="31" t="e">
        <f t="shared" ca="1" si="0"/>
        <v>#NAME?</v>
      </c>
      <c r="L411" s="31">
        <v>0</v>
      </c>
      <c r="M411" s="31">
        <f t="shared" si="1"/>
        <v>1</v>
      </c>
    </row>
    <row r="412" spans="1:13" ht="13">
      <c r="A412" s="33" t="str">
        <f>HYPERLINK("http://aclweb.org/anthology/D18-1528","Classifying Referential and Non-referential It Using Gaze")</f>
        <v>Classifying Referential and Non-referential It Using Gaze</v>
      </c>
      <c r="B412" s="31" t="s">
        <v>62</v>
      </c>
      <c r="C412" s="33" t="s">
        <v>826</v>
      </c>
      <c r="D412" s="31">
        <v>0</v>
      </c>
      <c r="E412" s="31">
        <v>1</v>
      </c>
      <c r="F412" s="31" t="s">
        <v>827</v>
      </c>
      <c r="G412" s="31">
        <v>0</v>
      </c>
      <c r="H412" s="31">
        <v>1</v>
      </c>
      <c r="I412" s="31" t="e">
        <f t="shared" ca="1" si="0"/>
        <v>#NAME?</v>
      </c>
      <c r="L412" s="31">
        <v>0</v>
      </c>
      <c r="M412" s="31">
        <f t="shared" si="1"/>
        <v>1</v>
      </c>
    </row>
    <row r="413" spans="1:13" ht="13">
      <c r="A413" s="33" t="str">
        <f t="shared" ref="A413:A414" si="5">HYPERLINK("http://aclweb.org/anthology/P18-3018","Trick Me If You Can: Adversarial Writing of Trivia Challenge Questions")</f>
        <v>Trick Me If You Can: Adversarial Writing of Trivia Challenge Questions</v>
      </c>
      <c r="B413" s="31" t="s">
        <v>62</v>
      </c>
      <c r="C413" s="33" t="s">
        <v>828</v>
      </c>
      <c r="D413" s="31">
        <v>0</v>
      </c>
      <c r="E413" s="31">
        <v>0</v>
      </c>
      <c r="F413" s="31" t="s">
        <v>829</v>
      </c>
      <c r="G413" s="31">
        <v>0</v>
      </c>
      <c r="H413" s="31">
        <v>1</v>
      </c>
      <c r="I413" s="31" t="e">
        <f t="shared" ca="1" si="0"/>
        <v>#NAME?</v>
      </c>
      <c r="L413" s="31">
        <v>0</v>
      </c>
      <c r="M413" s="31">
        <f t="shared" si="1"/>
        <v>1</v>
      </c>
    </row>
    <row r="414" spans="1:13" ht="13">
      <c r="A414" s="33" t="str">
        <f t="shared" si="5"/>
        <v>Trick Me If You Can: Adversarial Writing of Trivia Challenge Questions</v>
      </c>
      <c r="B414" s="31" t="s">
        <v>62</v>
      </c>
      <c r="C414" s="31" t="s">
        <v>830</v>
      </c>
      <c r="D414" s="31">
        <v>0</v>
      </c>
      <c r="E414" s="31">
        <v>0</v>
      </c>
      <c r="F414" s="31" t="s">
        <v>831</v>
      </c>
      <c r="G414" s="31">
        <v>0</v>
      </c>
      <c r="H414" s="31">
        <v>1</v>
      </c>
      <c r="I414" s="31" t="e">
        <f t="shared" ca="1" si="0"/>
        <v>#NAME?</v>
      </c>
      <c r="K414" s="31" t="s">
        <v>832</v>
      </c>
      <c r="M414" s="31">
        <f t="shared" si="1"/>
        <v>0</v>
      </c>
    </row>
    <row r="415" spans="1:13" ht="13">
      <c r="A415" s="33" t="str">
        <f>HYPERLINK("http://aclweb.org/anthology/P18-3015","Reinforced Extractive Summarization with Question-Focused Rewards")</f>
        <v>Reinforced Extractive Summarization with Question-Focused Rewards</v>
      </c>
      <c r="B415" s="31" t="s">
        <v>62</v>
      </c>
      <c r="C415" s="33" t="s">
        <v>833</v>
      </c>
      <c r="D415" s="31">
        <v>0</v>
      </c>
      <c r="E415" s="31">
        <v>0</v>
      </c>
      <c r="F415" s="31" t="s">
        <v>834</v>
      </c>
      <c r="G415" s="31">
        <v>0</v>
      </c>
      <c r="H415" s="31">
        <v>1</v>
      </c>
      <c r="I415" s="31" t="e">
        <f t="shared" ca="1" si="0"/>
        <v>#NAME?</v>
      </c>
      <c r="L415" s="31">
        <v>0</v>
      </c>
      <c r="M415" s="31">
        <f t="shared" si="1"/>
        <v>1</v>
      </c>
    </row>
    <row r="416" spans="1:13" ht="13">
      <c r="A416" s="33" t="str">
        <f t="shared" ref="A416:A420" si="6">HYPERLINK("http://aclweb.org/anthology/P18-1229","End-to-End Reinforcement Learning for Automatic Taxonomy Induction")</f>
        <v>End-to-End Reinforcement Learning for Automatic Taxonomy Induction</v>
      </c>
      <c r="B416" s="31" t="s">
        <v>62</v>
      </c>
      <c r="C416" s="33" t="s">
        <v>835</v>
      </c>
      <c r="D416" s="31">
        <v>0</v>
      </c>
      <c r="E416" s="31">
        <v>1</v>
      </c>
      <c r="F416" s="31" t="s">
        <v>836</v>
      </c>
      <c r="G416" s="31">
        <v>0</v>
      </c>
      <c r="H416" s="31">
        <v>1</v>
      </c>
      <c r="I416" s="31" t="e">
        <f t="shared" ca="1" si="0"/>
        <v>#NAME?</v>
      </c>
      <c r="L416" s="31">
        <v>0</v>
      </c>
      <c r="M416" s="31">
        <f t="shared" si="1"/>
        <v>1</v>
      </c>
    </row>
    <row r="417" spans="1:13" ht="13">
      <c r="A417" s="33" t="str">
        <f t="shared" si="6"/>
        <v>End-to-End Reinforcement Learning for Automatic Taxonomy Induction</v>
      </c>
      <c r="B417" s="31" t="s">
        <v>62</v>
      </c>
      <c r="C417" s="31" t="s">
        <v>837</v>
      </c>
      <c r="D417" s="31">
        <v>0</v>
      </c>
      <c r="E417" s="31">
        <v>1</v>
      </c>
      <c r="F417" s="31" t="s">
        <v>838</v>
      </c>
      <c r="G417" s="31">
        <v>0</v>
      </c>
      <c r="H417" s="31">
        <v>1</v>
      </c>
      <c r="I417" s="31" t="e">
        <f t="shared" ca="1" si="0"/>
        <v>#NAME?</v>
      </c>
      <c r="M417" s="31">
        <f t="shared" si="1"/>
        <v>0</v>
      </c>
    </row>
    <row r="418" spans="1:13" ht="13">
      <c r="A418" s="33" t="str">
        <f t="shared" si="6"/>
        <v>End-to-End Reinforcement Learning for Automatic Taxonomy Induction</v>
      </c>
      <c r="B418" s="31" t="s">
        <v>62</v>
      </c>
      <c r="C418" s="31" t="s">
        <v>839</v>
      </c>
      <c r="D418" s="31">
        <v>0</v>
      </c>
      <c r="E418" s="31">
        <v>1</v>
      </c>
      <c r="F418" s="31" t="s">
        <v>840</v>
      </c>
      <c r="G418" s="31">
        <v>0</v>
      </c>
      <c r="H418" s="31">
        <v>1</v>
      </c>
      <c r="I418" s="31" t="e">
        <f t="shared" ca="1" si="0"/>
        <v>#NAME?</v>
      </c>
      <c r="M418" s="31">
        <f t="shared" si="1"/>
        <v>0</v>
      </c>
    </row>
    <row r="419" spans="1:13" ht="13">
      <c r="A419" s="33" t="str">
        <f t="shared" si="6"/>
        <v>End-to-End Reinforcement Learning for Automatic Taxonomy Induction</v>
      </c>
      <c r="B419" s="31" t="s">
        <v>62</v>
      </c>
      <c r="C419" s="31" t="s">
        <v>841</v>
      </c>
      <c r="D419" s="31">
        <v>0</v>
      </c>
      <c r="E419" s="31">
        <v>1</v>
      </c>
      <c r="F419" s="31" t="s">
        <v>842</v>
      </c>
      <c r="G419" s="31">
        <v>0</v>
      </c>
      <c r="H419" s="31">
        <v>1</v>
      </c>
      <c r="I419" s="31" t="e">
        <f t="shared" ca="1" si="0"/>
        <v>#NAME?</v>
      </c>
      <c r="M419" s="31">
        <f t="shared" si="1"/>
        <v>0</v>
      </c>
    </row>
    <row r="420" spans="1:13" ht="13">
      <c r="A420" s="33" t="str">
        <f t="shared" si="6"/>
        <v>End-to-End Reinforcement Learning for Automatic Taxonomy Induction</v>
      </c>
      <c r="B420" s="31" t="s">
        <v>62</v>
      </c>
      <c r="C420" s="31" t="s">
        <v>843</v>
      </c>
      <c r="D420" s="31">
        <v>0</v>
      </c>
      <c r="E420" s="31">
        <v>1</v>
      </c>
      <c r="F420" s="31" t="s">
        <v>844</v>
      </c>
      <c r="G420" s="31">
        <v>0</v>
      </c>
      <c r="H420" s="31">
        <v>1</v>
      </c>
      <c r="I420" s="31" t="e">
        <f t="shared" ca="1" si="0"/>
        <v>#NAME?</v>
      </c>
      <c r="M420" s="31">
        <f t="shared" si="1"/>
        <v>0</v>
      </c>
    </row>
    <row r="421" spans="1:13" ht="13">
      <c r="A421" s="33" t="str">
        <f t="shared" ref="A421:A422" si="7">HYPERLINK("http://aclweb.org/anthology/D18-1375","A Genre-Aware Attention Model to Improve the Likability Prediction of Books")</f>
        <v>A Genre-Aware Attention Model to Improve the Likability Prediction of Books</v>
      </c>
      <c r="B421" s="31" t="s">
        <v>62</v>
      </c>
      <c r="C421" s="33" t="s">
        <v>845</v>
      </c>
      <c r="D421" s="31">
        <v>0</v>
      </c>
      <c r="E421" s="31">
        <v>1</v>
      </c>
      <c r="F421" s="31" t="s">
        <v>846</v>
      </c>
      <c r="G421" s="31">
        <v>0</v>
      </c>
      <c r="H421" s="31">
        <v>1</v>
      </c>
      <c r="I421" s="31" t="e">
        <f t="shared" ca="1" si="0"/>
        <v>#NAME?</v>
      </c>
      <c r="L421" s="31">
        <v>0</v>
      </c>
      <c r="M421" s="31">
        <f t="shared" si="1"/>
        <v>1</v>
      </c>
    </row>
    <row r="422" spans="1:13" ht="13">
      <c r="A422" s="33" t="str">
        <f t="shared" si="7"/>
        <v>A Genre-Aware Attention Model to Improve the Likability Prediction of Books</v>
      </c>
      <c r="B422" s="31" t="s">
        <v>62</v>
      </c>
      <c r="C422" s="31" t="s">
        <v>847</v>
      </c>
      <c r="D422" s="31">
        <v>0</v>
      </c>
      <c r="E422" s="31">
        <v>1</v>
      </c>
      <c r="F422" s="31" t="s">
        <v>848</v>
      </c>
      <c r="G422" s="31">
        <v>0</v>
      </c>
      <c r="H422" s="31">
        <v>1</v>
      </c>
      <c r="I422" s="31" t="e">
        <f t="shared" ca="1" si="0"/>
        <v>#NAME?</v>
      </c>
      <c r="M422" s="31">
        <f t="shared" si="1"/>
        <v>0</v>
      </c>
    </row>
    <row r="423" spans="1:13" ht="13">
      <c r="A423" s="33" t="str">
        <f>HYPERLINK("http://aclweb.org/anthology/D18-1103","Rapid Adaptation of Neural Machine Translation to New Languages")</f>
        <v>Rapid Adaptation of Neural Machine Translation to New Languages</v>
      </c>
      <c r="B423" s="31" t="s">
        <v>62</v>
      </c>
      <c r="C423" s="33" t="s">
        <v>849</v>
      </c>
      <c r="D423" s="31">
        <v>0</v>
      </c>
      <c r="E423" s="31">
        <v>1</v>
      </c>
      <c r="F423" s="31" t="s">
        <v>850</v>
      </c>
      <c r="G423" s="31">
        <v>0</v>
      </c>
      <c r="H423" s="31">
        <v>1</v>
      </c>
      <c r="I423" s="31" t="e">
        <f t="shared" ca="1" si="0"/>
        <v>#NAME?</v>
      </c>
      <c r="L423" s="31">
        <v>0</v>
      </c>
      <c r="M423" s="31">
        <f t="shared" si="1"/>
        <v>1</v>
      </c>
    </row>
    <row r="424" spans="1:13" ht="13">
      <c r="A424" s="33" t="str">
        <f t="shared" ref="A424:A429" si="8">HYPERLINK("http://aclweb.org/anthology/D18-1250","Large-scale Exploration of Neural Relation Classification Architectures")</f>
        <v>Large-scale Exploration of Neural Relation Classification Architectures</v>
      </c>
      <c r="B424" s="31" t="s">
        <v>62</v>
      </c>
      <c r="C424" s="33" t="s">
        <v>851</v>
      </c>
      <c r="D424" s="31">
        <v>0</v>
      </c>
      <c r="E424" s="31">
        <v>1</v>
      </c>
      <c r="F424" s="31" t="s">
        <v>852</v>
      </c>
      <c r="G424" s="31">
        <v>0</v>
      </c>
      <c r="H424" s="31">
        <v>1</v>
      </c>
      <c r="I424" s="31" t="e">
        <f t="shared" ca="1" si="0"/>
        <v>#NAME?</v>
      </c>
      <c r="L424" s="31">
        <v>1</v>
      </c>
      <c r="M424" s="31">
        <f t="shared" si="1"/>
        <v>1</v>
      </c>
    </row>
    <row r="425" spans="1:13" ht="13">
      <c r="A425" s="33" t="str">
        <f t="shared" si="8"/>
        <v>Large-scale Exploration of Neural Relation Classification Architectures</v>
      </c>
      <c r="B425" s="31" t="s">
        <v>62</v>
      </c>
      <c r="C425" s="31" t="s">
        <v>853</v>
      </c>
      <c r="D425" s="31">
        <v>0</v>
      </c>
      <c r="E425" s="31">
        <v>1</v>
      </c>
      <c r="F425" s="31" t="s">
        <v>854</v>
      </c>
      <c r="G425" s="31">
        <v>0</v>
      </c>
      <c r="H425" s="31">
        <v>1</v>
      </c>
      <c r="I425" s="31" t="e">
        <f t="shared" ca="1" si="0"/>
        <v>#NAME?</v>
      </c>
      <c r="K425" s="31" t="s">
        <v>855</v>
      </c>
      <c r="M425" s="31">
        <f t="shared" si="1"/>
        <v>0</v>
      </c>
    </row>
    <row r="426" spans="1:13" ht="13">
      <c r="A426" s="33" t="str">
        <f t="shared" si="8"/>
        <v>Large-scale Exploration of Neural Relation Classification Architectures</v>
      </c>
      <c r="B426" s="31" t="s">
        <v>62</v>
      </c>
      <c r="C426" s="31" t="s">
        <v>856</v>
      </c>
      <c r="D426" s="31">
        <v>0</v>
      </c>
      <c r="E426" s="31">
        <v>1</v>
      </c>
      <c r="F426" s="31" t="s">
        <v>857</v>
      </c>
      <c r="G426" s="31">
        <v>0</v>
      </c>
      <c r="H426" s="31">
        <v>1</v>
      </c>
      <c r="I426" s="31" t="e">
        <f t="shared" ca="1" si="0"/>
        <v>#NAME?</v>
      </c>
      <c r="K426" s="31" t="s">
        <v>855</v>
      </c>
      <c r="M426" s="31">
        <f t="shared" si="1"/>
        <v>0</v>
      </c>
    </row>
    <row r="427" spans="1:13" ht="13">
      <c r="A427" s="33" t="str">
        <f t="shared" si="8"/>
        <v>Large-scale Exploration of Neural Relation Classification Architectures</v>
      </c>
      <c r="B427" s="31" t="s">
        <v>62</v>
      </c>
      <c r="C427" s="31" t="s">
        <v>858</v>
      </c>
      <c r="D427" s="31">
        <v>0</v>
      </c>
      <c r="E427" s="31">
        <v>1</v>
      </c>
      <c r="F427" s="31" t="s">
        <v>859</v>
      </c>
      <c r="G427" s="31">
        <v>0</v>
      </c>
      <c r="H427" s="31">
        <v>1</v>
      </c>
      <c r="I427" s="31" t="e">
        <f t="shared" ca="1" si="0"/>
        <v>#NAME?</v>
      </c>
      <c r="K427" s="31" t="s">
        <v>855</v>
      </c>
      <c r="M427" s="31">
        <f t="shared" si="1"/>
        <v>0</v>
      </c>
    </row>
    <row r="428" spans="1:13" ht="13">
      <c r="A428" s="33" t="str">
        <f t="shared" si="8"/>
        <v>Large-scale Exploration of Neural Relation Classification Architectures</v>
      </c>
      <c r="B428" s="31" t="s">
        <v>62</v>
      </c>
      <c r="C428" s="31" t="s">
        <v>860</v>
      </c>
      <c r="D428" s="31">
        <v>0</v>
      </c>
      <c r="E428" s="31">
        <v>1</v>
      </c>
      <c r="F428" s="31" t="s">
        <v>861</v>
      </c>
      <c r="G428" s="31">
        <v>0</v>
      </c>
      <c r="H428" s="31">
        <v>1</v>
      </c>
      <c r="I428" s="31" t="e">
        <f t="shared" ca="1" si="0"/>
        <v>#NAME?</v>
      </c>
      <c r="K428" s="31" t="s">
        <v>855</v>
      </c>
      <c r="M428" s="31">
        <f t="shared" si="1"/>
        <v>0</v>
      </c>
    </row>
    <row r="429" spans="1:13" ht="13">
      <c r="A429" s="33" t="str">
        <f t="shared" si="8"/>
        <v>Large-scale Exploration of Neural Relation Classification Architectures</v>
      </c>
      <c r="B429" s="31" t="s">
        <v>62</v>
      </c>
      <c r="C429" s="31" t="s">
        <v>862</v>
      </c>
      <c r="D429" s="31">
        <v>0</v>
      </c>
      <c r="E429" s="31">
        <v>1</v>
      </c>
      <c r="F429" s="31" t="s">
        <v>863</v>
      </c>
      <c r="G429" s="31">
        <v>0</v>
      </c>
      <c r="H429" s="31">
        <v>1</v>
      </c>
      <c r="I429" s="31" t="e">
        <f t="shared" ca="1" si="0"/>
        <v>#NAME?</v>
      </c>
      <c r="M429" s="31">
        <f t="shared" si="1"/>
        <v>0</v>
      </c>
    </row>
    <row r="430" spans="1:13" ht="13">
      <c r="A430" s="33" t="str">
        <f t="shared" ref="A430:A433" si="9">HYPERLINK("http://aclweb.org/anthology/P18-1157","Stochastic Answer Networks for Machine Reading Comprehension")</f>
        <v>Stochastic Answer Networks for Machine Reading Comprehension</v>
      </c>
      <c r="B430" s="31" t="s">
        <v>62</v>
      </c>
      <c r="C430" s="33" t="s">
        <v>864</v>
      </c>
      <c r="D430" s="31">
        <v>0</v>
      </c>
      <c r="E430" s="31">
        <v>0</v>
      </c>
      <c r="F430" s="31" t="s">
        <v>865</v>
      </c>
      <c r="G430" s="31">
        <v>0</v>
      </c>
      <c r="H430" s="31">
        <v>1</v>
      </c>
      <c r="I430" s="31" t="e">
        <f t="shared" ca="1" si="0"/>
        <v>#NAME?</v>
      </c>
      <c r="L430" s="31">
        <v>0</v>
      </c>
      <c r="M430" s="31">
        <f t="shared" si="1"/>
        <v>1</v>
      </c>
    </row>
    <row r="431" spans="1:13" ht="13">
      <c r="A431" s="33" t="str">
        <f t="shared" si="9"/>
        <v>Stochastic Answer Networks for Machine Reading Comprehension</v>
      </c>
      <c r="B431" s="31" t="s">
        <v>62</v>
      </c>
      <c r="C431" s="31" t="s">
        <v>866</v>
      </c>
      <c r="D431" s="31">
        <v>0</v>
      </c>
      <c r="E431" s="31">
        <v>0</v>
      </c>
      <c r="F431" s="31" t="s">
        <v>867</v>
      </c>
      <c r="G431" s="31">
        <v>0</v>
      </c>
      <c r="H431" s="31">
        <v>1</v>
      </c>
      <c r="I431" s="31" t="e">
        <f t="shared" ca="1" si="0"/>
        <v>#NAME?</v>
      </c>
      <c r="M431" s="31">
        <f t="shared" si="1"/>
        <v>0</v>
      </c>
    </row>
    <row r="432" spans="1:13" ht="13">
      <c r="A432" s="33" t="str">
        <f t="shared" si="9"/>
        <v>Stochastic Answer Networks for Machine Reading Comprehension</v>
      </c>
      <c r="B432" s="31" t="s">
        <v>62</v>
      </c>
      <c r="C432" s="31" t="s">
        <v>868</v>
      </c>
      <c r="D432" s="31">
        <v>0</v>
      </c>
      <c r="E432" s="31">
        <v>0</v>
      </c>
      <c r="F432" s="31" t="s">
        <v>869</v>
      </c>
      <c r="G432" s="31">
        <v>0</v>
      </c>
      <c r="H432" s="31">
        <v>1</v>
      </c>
      <c r="I432" s="31" t="e">
        <f t="shared" ca="1" si="0"/>
        <v>#NAME?</v>
      </c>
      <c r="M432" s="31">
        <f t="shared" si="1"/>
        <v>0</v>
      </c>
    </row>
    <row r="433" spans="1:13" ht="13">
      <c r="A433" s="33" t="str">
        <f t="shared" si="9"/>
        <v>Stochastic Answer Networks for Machine Reading Comprehension</v>
      </c>
      <c r="B433" s="31" t="s">
        <v>62</v>
      </c>
      <c r="C433" s="31" t="s">
        <v>870</v>
      </c>
      <c r="D433" s="31">
        <v>0</v>
      </c>
      <c r="E433" s="31">
        <v>0</v>
      </c>
      <c r="F433" s="31" t="s">
        <v>871</v>
      </c>
      <c r="G433" s="31">
        <v>0</v>
      </c>
      <c r="H433" s="31">
        <v>1</v>
      </c>
      <c r="I433" s="31" t="e">
        <f t="shared" ca="1" si="0"/>
        <v>#NAME?</v>
      </c>
      <c r="M433" s="31">
        <f t="shared" si="1"/>
        <v>0</v>
      </c>
    </row>
    <row r="434" spans="1:13" ht="13">
      <c r="A434" s="33" t="str">
        <f>HYPERLINK("http://aclweb.org/anthology/P18-2087","Sense-Aware Neural Models for Pun Location in Texts")</f>
        <v>Sense-Aware Neural Models for Pun Location in Texts</v>
      </c>
      <c r="B434" s="31" t="s">
        <v>62</v>
      </c>
      <c r="C434" s="33" t="s">
        <v>872</v>
      </c>
      <c r="D434" s="31">
        <v>0</v>
      </c>
      <c r="E434" s="31">
        <v>0</v>
      </c>
      <c r="F434" s="31" t="s">
        <v>873</v>
      </c>
      <c r="G434" s="31">
        <v>0</v>
      </c>
      <c r="H434" s="31">
        <v>1</v>
      </c>
      <c r="I434" s="31" t="e">
        <f t="shared" ca="1" si="0"/>
        <v>#NAME?</v>
      </c>
      <c r="L434" s="31">
        <v>0</v>
      </c>
      <c r="M434" s="31">
        <f t="shared" si="1"/>
        <v>1</v>
      </c>
    </row>
    <row r="435" spans="1:13" ht="13">
      <c r="A435" s="33" t="str">
        <f t="shared" ref="A435:A436" si="10">HYPERLINK("http://aclweb.org/anthology/P18-1123","Exemplar Encoder-Decoder for Neural Conversation Generation")</f>
        <v>Exemplar Encoder-Decoder for Neural Conversation Generation</v>
      </c>
      <c r="B435" s="31" t="s">
        <v>62</v>
      </c>
      <c r="C435" s="33" t="s">
        <v>874</v>
      </c>
      <c r="D435" s="31">
        <v>0</v>
      </c>
      <c r="E435" s="31">
        <v>1</v>
      </c>
      <c r="F435" s="31" t="s">
        <v>875</v>
      </c>
      <c r="G435" s="31">
        <v>0</v>
      </c>
      <c r="H435" s="31">
        <v>1</v>
      </c>
      <c r="I435" s="31" t="e">
        <f t="shared" ca="1" si="0"/>
        <v>#NAME?</v>
      </c>
      <c r="L435" s="31">
        <v>0</v>
      </c>
      <c r="M435" s="31">
        <f t="shared" si="1"/>
        <v>1</v>
      </c>
    </row>
    <row r="436" spans="1:13" ht="13">
      <c r="A436" s="33" t="str">
        <f t="shared" si="10"/>
        <v>Exemplar Encoder-Decoder for Neural Conversation Generation</v>
      </c>
      <c r="B436" s="31" t="s">
        <v>62</v>
      </c>
      <c r="C436" s="31" t="s">
        <v>876</v>
      </c>
      <c r="D436" s="31">
        <v>0</v>
      </c>
      <c r="E436" s="31">
        <v>1</v>
      </c>
      <c r="F436" s="31" t="s">
        <v>877</v>
      </c>
      <c r="G436" s="31">
        <v>0</v>
      </c>
      <c r="H436" s="31">
        <v>0</v>
      </c>
      <c r="I436" s="31" t="e">
        <f t="shared" ca="1" si="0"/>
        <v>#NAME?</v>
      </c>
      <c r="M436" s="31">
        <f t="shared" si="1"/>
        <v>0</v>
      </c>
    </row>
    <row r="437" spans="1:13" ht="13">
      <c r="A437" s="33" t="str">
        <f>HYPERLINK("http://aclweb.org/anthology/N18-1009","Please Clap: Modeling Applause in Campaign Speeches")</f>
        <v>Please Clap: Modeling Applause in Campaign Speeches</v>
      </c>
      <c r="B437" s="31" t="s">
        <v>62</v>
      </c>
      <c r="C437" s="33" t="s">
        <v>810</v>
      </c>
      <c r="D437" s="31">
        <v>0</v>
      </c>
      <c r="E437" s="31">
        <v>1</v>
      </c>
      <c r="F437" s="31" t="s">
        <v>878</v>
      </c>
      <c r="G437" s="31">
        <v>0</v>
      </c>
      <c r="H437" s="31">
        <v>1</v>
      </c>
      <c r="I437" s="31" t="e">
        <f t="shared" ca="1" si="0"/>
        <v>#NAME?</v>
      </c>
      <c r="K437" s="31" t="s">
        <v>879</v>
      </c>
      <c r="L437" s="31">
        <v>1</v>
      </c>
      <c r="M437" s="31">
        <f t="shared" si="1"/>
        <v>1</v>
      </c>
    </row>
    <row r="438" spans="1:13" ht="13">
      <c r="A438" s="33" t="str">
        <f>HYPERLINK("http://aclweb.org/anthology/N18-1010","Attentive Interaction Model: Modeling Changes in View in Argumentation")</f>
        <v>Attentive Interaction Model: Modeling Changes in View in Argumentation</v>
      </c>
      <c r="B438" s="31" t="s">
        <v>62</v>
      </c>
      <c r="C438" s="33" t="s">
        <v>816</v>
      </c>
      <c r="D438" s="31">
        <v>0</v>
      </c>
      <c r="E438" s="31">
        <v>1</v>
      </c>
      <c r="F438" s="31" t="s">
        <v>880</v>
      </c>
      <c r="G438" s="31">
        <v>0</v>
      </c>
      <c r="H438" s="31">
        <v>1</v>
      </c>
      <c r="I438" s="31" t="e">
        <f t="shared" ca="1" si="0"/>
        <v>#NAME?</v>
      </c>
      <c r="L438" s="31">
        <v>0</v>
      </c>
      <c r="M438" s="31">
        <f t="shared" si="1"/>
        <v>1</v>
      </c>
    </row>
    <row r="439" spans="1:13" ht="13">
      <c r="A439" s="33" t="str">
        <f t="shared" ref="A439:A441" si="11">HYPERLINK("http://aclweb.org/anthology/N18-1011","Automatic Focus Annotation: Bringing Formal Pragmatics Alive in
Analyzing the Information Structure of Authentic Data")</f>
        <v>Automatic Focus Annotation: Bringing Formal Pragmatics Alive in
Analyzing the Information Structure of Authentic Data</v>
      </c>
      <c r="B439" s="31" t="s">
        <v>62</v>
      </c>
      <c r="C439" s="33" t="s">
        <v>818</v>
      </c>
      <c r="D439" s="31">
        <v>0</v>
      </c>
      <c r="E439" s="31">
        <v>0</v>
      </c>
      <c r="F439" s="31" t="s">
        <v>881</v>
      </c>
      <c r="G439" s="31">
        <v>0</v>
      </c>
      <c r="H439" s="31">
        <v>1</v>
      </c>
      <c r="I439" s="31" t="e">
        <f t="shared" ca="1" si="0"/>
        <v>#NAME?</v>
      </c>
      <c r="L439" s="31">
        <v>0</v>
      </c>
      <c r="M439" s="31">
        <f t="shared" si="1"/>
        <v>1</v>
      </c>
    </row>
    <row r="440" spans="1:13" ht="13">
      <c r="A440" s="33" t="str">
        <f t="shared" si="11"/>
        <v>Automatic Focus Annotation: Bringing Formal Pragmatics Alive in
Analyzing the Information Structure of Authentic Data</v>
      </c>
      <c r="B440" s="31" t="s">
        <v>62</v>
      </c>
      <c r="C440" s="31" t="s">
        <v>820</v>
      </c>
      <c r="D440" s="31">
        <v>0</v>
      </c>
      <c r="E440" s="31">
        <v>0</v>
      </c>
      <c r="F440" s="31" t="s">
        <v>882</v>
      </c>
      <c r="G440" s="31">
        <v>0</v>
      </c>
      <c r="H440" s="31">
        <v>1</v>
      </c>
      <c r="I440" s="31" t="e">
        <f t="shared" ca="1" si="0"/>
        <v>#NAME?</v>
      </c>
      <c r="M440" s="31">
        <f t="shared" si="1"/>
        <v>0</v>
      </c>
    </row>
    <row r="441" spans="1:13" ht="13">
      <c r="A441" s="33" t="str">
        <f t="shared" si="11"/>
        <v>Automatic Focus Annotation: Bringing Formal Pragmatics Alive in
Analyzing the Information Structure of Authentic Data</v>
      </c>
      <c r="B441" s="31" t="s">
        <v>62</v>
      </c>
      <c r="C441" s="31" t="s">
        <v>883</v>
      </c>
      <c r="D441" s="31">
        <v>0</v>
      </c>
      <c r="E441" s="31">
        <v>0</v>
      </c>
      <c r="F441" s="31" t="s">
        <v>884</v>
      </c>
      <c r="G441" s="31">
        <v>0</v>
      </c>
      <c r="H441" s="31">
        <v>1</v>
      </c>
      <c r="I441" s="31" t="e">
        <f t="shared" ca="1" si="0"/>
        <v>#NAME?</v>
      </c>
      <c r="M441" s="31">
        <f t="shared" si="1"/>
        <v>0</v>
      </c>
    </row>
    <row r="442" spans="1:13" ht="13">
      <c r="A442" s="33" t="str">
        <f>HYPERLINK("http://aclweb.org/anthology/D18-2020","Interactive Instance-based Evaluation of
Knowledge Base Question Answering")</f>
        <v>Interactive Instance-based Evaluation of
Knowledge Base Question Answering</v>
      </c>
      <c r="B442" s="31" t="s">
        <v>62</v>
      </c>
      <c r="C442" s="33" t="s">
        <v>885</v>
      </c>
      <c r="D442" s="31">
        <v>0</v>
      </c>
      <c r="E442" s="31">
        <v>1</v>
      </c>
      <c r="F442" s="31" t="s">
        <v>886</v>
      </c>
      <c r="G442" s="31">
        <v>0</v>
      </c>
      <c r="H442" s="31">
        <v>1</v>
      </c>
      <c r="I442" s="31" t="e">
        <f t="shared" ca="1" si="0"/>
        <v>#NAME?</v>
      </c>
      <c r="K442" s="31" t="s">
        <v>887</v>
      </c>
      <c r="L442" s="31" t="s">
        <v>888</v>
      </c>
      <c r="M442" s="31">
        <f t="shared" si="1"/>
        <v>1</v>
      </c>
    </row>
    <row r="443" spans="1:13" ht="13">
      <c r="A443" s="33" t="str">
        <f>HYPERLINK("http://aclweb.org/anthology/D18-1236","Logician and Orator: Learning from the Duality between Language and Knowledge in Open Domain")</f>
        <v>Logician and Orator: Learning from the Duality between Language and Knowledge in Open Domain</v>
      </c>
      <c r="B443" s="31" t="s">
        <v>62</v>
      </c>
      <c r="C443" s="33" t="s">
        <v>889</v>
      </c>
      <c r="D443" s="31">
        <v>0</v>
      </c>
      <c r="E443" s="31">
        <v>0</v>
      </c>
      <c r="F443" s="31" t="s">
        <v>890</v>
      </c>
      <c r="G443" s="31">
        <v>0</v>
      </c>
      <c r="H443" s="31">
        <v>1</v>
      </c>
      <c r="I443" s="31" t="e">
        <f t="shared" ca="1" si="0"/>
        <v>#NAME?</v>
      </c>
      <c r="L443" s="31">
        <v>0</v>
      </c>
      <c r="M443" s="31">
        <f t="shared" si="1"/>
        <v>1</v>
      </c>
    </row>
    <row r="444" spans="1:13" ht="13">
      <c r="A444" s="33" t="str">
        <f t="shared" ref="A444:A445" si="12">HYPERLINK("http://aclweb.org/anthology/D18-1218","A Probabilistic Annotation Model for Crowdsourcing Coreference")</f>
        <v>A Probabilistic Annotation Model for Crowdsourcing Coreference</v>
      </c>
      <c r="B444" s="31" t="s">
        <v>62</v>
      </c>
      <c r="C444" s="33" t="s">
        <v>891</v>
      </c>
      <c r="D444" s="31">
        <v>0</v>
      </c>
      <c r="E444" s="31">
        <v>0</v>
      </c>
      <c r="F444" s="31" t="s">
        <v>892</v>
      </c>
      <c r="G444" s="31">
        <v>0</v>
      </c>
      <c r="H444" s="31">
        <v>1</v>
      </c>
      <c r="I444" s="31" t="e">
        <f t="shared" ca="1" si="0"/>
        <v>#NAME?</v>
      </c>
      <c r="L444" s="31">
        <v>1</v>
      </c>
      <c r="M444" s="31">
        <f t="shared" si="1"/>
        <v>1</v>
      </c>
    </row>
    <row r="445" spans="1:13" ht="13">
      <c r="A445" s="33" t="str">
        <f t="shared" si="12"/>
        <v>A Probabilistic Annotation Model for Crowdsourcing Coreference</v>
      </c>
      <c r="B445" s="31" t="s">
        <v>62</v>
      </c>
      <c r="C445" s="31" t="s">
        <v>893</v>
      </c>
      <c r="D445" s="31">
        <v>0</v>
      </c>
      <c r="E445" s="31">
        <v>0</v>
      </c>
      <c r="F445" s="31" t="s">
        <v>894</v>
      </c>
      <c r="G445" s="31">
        <v>0</v>
      </c>
      <c r="H445" s="31">
        <v>1</v>
      </c>
      <c r="I445" s="31" t="e">
        <f t="shared" ca="1" si="0"/>
        <v>#NAME?</v>
      </c>
      <c r="M445" s="31">
        <f t="shared" si="1"/>
        <v>0</v>
      </c>
    </row>
    <row r="446" spans="1:13" ht="13">
      <c r="A446" s="33" t="str">
        <f t="shared" ref="A446:A448" si="13">HYPERLINK("http://aclweb.org/anthology/P18-4001","Platforms for Non-Speakers Annotating Names in Any Language")</f>
        <v>Platforms for Non-Speakers Annotating Names in Any Language</v>
      </c>
      <c r="B446" s="31" t="s">
        <v>62</v>
      </c>
      <c r="C446" s="33" t="s">
        <v>895</v>
      </c>
      <c r="D446" s="31">
        <v>0</v>
      </c>
      <c r="E446" s="31">
        <v>0</v>
      </c>
      <c r="F446" s="31" t="s">
        <v>896</v>
      </c>
      <c r="G446" s="31">
        <v>0</v>
      </c>
      <c r="H446" s="31">
        <v>0</v>
      </c>
      <c r="I446" s="31" t="e">
        <f t="shared" ca="1" si="0"/>
        <v>#NAME?</v>
      </c>
      <c r="L446" s="31">
        <v>0</v>
      </c>
      <c r="M446" s="31">
        <f t="shared" si="1"/>
        <v>1</v>
      </c>
    </row>
    <row r="447" spans="1:13" ht="13">
      <c r="A447" s="33" t="str">
        <f t="shared" si="13"/>
        <v>Platforms for Non-Speakers Annotating Names in Any Language</v>
      </c>
      <c r="B447" s="31" t="s">
        <v>62</v>
      </c>
      <c r="C447" s="31" t="s">
        <v>897</v>
      </c>
      <c r="D447" s="31">
        <v>0</v>
      </c>
      <c r="E447" s="31">
        <v>0</v>
      </c>
      <c r="F447" s="31" t="s">
        <v>898</v>
      </c>
      <c r="G447" s="31">
        <v>0</v>
      </c>
      <c r="H447" s="31">
        <v>1</v>
      </c>
      <c r="I447" s="31" t="e">
        <f t="shared" ca="1" si="0"/>
        <v>#NAME?</v>
      </c>
      <c r="M447" s="31">
        <f t="shared" si="1"/>
        <v>0</v>
      </c>
    </row>
    <row r="448" spans="1:13" ht="13">
      <c r="A448" s="33" t="str">
        <f t="shared" si="13"/>
        <v>Platforms for Non-Speakers Annotating Names in Any Language</v>
      </c>
      <c r="B448" s="31" t="s">
        <v>62</v>
      </c>
      <c r="C448" s="31" t="s">
        <v>899</v>
      </c>
      <c r="D448" s="31">
        <v>0</v>
      </c>
      <c r="E448" s="31">
        <v>0</v>
      </c>
      <c r="F448" s="31" t="s">
        <v>900</v>
      </c>
      <c r="G448" s="31">
        <v>0</v>
      </c>
      <c r="H448" s="31">
        <v>1</v>
      </c>
      <c r="I448" s="31" t="e">
        <f t="shared" ca="1" si="0"/>
        <v>#NAME?</v>
      </c>
      <c r="M448" s="31">
        <f t="shared" si="1"/>
        <v>0</v>
      </c>
    </row>
    <row r="449" spans="1:13" ht="13">
      <c r="A449" s="33" t="str">
        <f t="shared" ref="A449:A450" si="14">HYPERLINK("http://aclweb.org/anthology/P18-1013","A Unified Model for Extractive and Abstractive Summarization using Inconsistency Loss")</f>
        <v>A Unified Model for Extractive and Abstractive Summarization using Inconsistency Loss</v>
      </c>
      <c r="B449" s="31" t="s">
        <v>62</v>
      </c>
      <c r="C449" s="33" t="s">
        <v>901</v>
      </c>
      <c r="D449" s="31">
        <v>0</v>
      </c>
      <c r="E449" s="31">
        <v>0</v>
      </c>
      <c r="F449" s="31" t="s">
        <v>902</v>
      </c>
      <c r="G449" s="31">
        <v>0</v>
      </c>
      <c r="H449" s="31">
        <v>1</v>
      </c>
      <c r="I449" s="31" t="e">
        <f t="shared" ca="1" si="0"/>
        <v>#NAME?</v>
      </c>
      <c r="L449" s="31">
        <v>1</v>
      </c>
      <c r="M449" s="31">
        <f t="shared" si="1"/>
        <v>1</v>
      </c>
    </row>
    <row r="450" spans="1:13" ht="13">
      <c r="A450" s="33" t="str">
        <f t="shared" si="14"/>
        <v>A Unified Model for Extractive and Abstractive Summarization using Inconsistency Loss</v>
      </c>
      <c r="B450" s="31" t="s">
        <v>62</v>
      </c>
      <c r="C450" s="31" t="s">
        <v>903</v>
      </c>
      <c r="D450" s="31">
        <v>0</v>
      </c>
      <c r="E450" s="31">
        <v>0</v>
      </c>
      <c r="F450" s="31" t="s">
        <v>904</v>
      </c>
      <c r="G450" s="31">
        <v>0</v>
      </c>
      <c r="H450" s="31">
        <v>0</v>
      </c>
      <c r="I450" s="31" t="e">
        <f t="shared" ca="1" si="0"/>
        <v>#NAME?</v>
      </c>
      <c r="M450" s="31">
        <f t="shared" si="1"/>
        <v>0</v>
      </c>
    </row>
    <row r="451" spans="1:13" ht="13">
      <c r="A451" s="33" t="str">
        <f t="shared" ref="A451:A456" si="15">HYPERLINK("http://aclweb.org/anthology/P18-4007","NextGen AML: Distributed Deep Learning based Language Technologies
to Augment Anti Money Laundering Investigation")</f>
        <v>NextGen AML: Distributed Deep Learning based Language Technologies
to Augment Anti Money Laundering Investigation</v>
      </c>
      <c r="B451" s="31" t="s">
        <v>62</v>
      </c>
      <c r="C451" s="33" t="s">
        <v>905</v>
      </c>
      <c r="D451" s="31">
        <v>0</v>
      </c>
      <c r="E451" s="31">
        <v>0</v>
      </c>
      <c r="F451" s="31" t="s">
        <v>906</v>
      </c>
      <c r="G451" s="31">
        <v>0</v>
      </c>
      <c r="H451" s="31">
        <v>1</v>
      </c>
      <c r="I451" s="31" t="e">
        <f t="shared" ca="1" si="0"/>
        <v>#NAME?</v>
      </c>
      <c r="L451" s="31">
        <v>0</v>
      </c>
      <c r="M451" s="31">
        <f t="shared" si="1"/>
        <v>1</v>
      </c>
    </row>
    <row r="452" spans="1:13" ht="13">
      <c r="A452" s="33" t="str">
        <f t="shared" si="15"/>
        <v>NextGen AML: Distributed Deep Learning based Language Technologies
to Augment Anti Money Laundering Investigation</v>
      </c>
      <c r="B452" s="31" t="s">
        <v>62</v>
      </c>
      <c r="C452" s="31" t="s">
        <v>907</v>
      </c>
      <c r="D452" s="31">
        <v>0</v>
      </c>
      <c r="E452" s="31">
        <v>0</v>
      </c>
      <c r="F452" s="31" t="s">
        <v>908</v>
      </c>
      <c r="G452" s="31">
        <v>0</v>
      </c>
      <c r="H452" s="31">
        <v>1</v>
      </c>
      <c r="I452" s="31" t="e">
        <f t="shared" ca="1" si="0"/>
        <v>#NAME?</v>
      </c>
      <c r="M452" s="31">
        <f t="shared" si="1"/>
        <v>0</v>
      </c>
    </row>
    <row r="453" spans="1:13" ht="13">
      <c r="A453" s="33" t="str">
        <f t="shared" si="15"/>
        <v>NextGen AML: Distributed Deep Learning based Language Technologies
to Augment Anti Money Laundering Investigation</v>
      </c>
      <c r="B453" s="31" t="s">
        <v>62</v>
      </c>
      <c r="C453" s="31" t="s">
        <v>909</v>
      </c>
      <c r="D453" s="31">
        <v>0</v>
      </c>
      <c r="E453" s="31">
        <v>0</v>
      </c>
      <c r="F453" s="31" t="s">
        <v>910</v>
      </c>
      <c r="G453" s="31">
        <v>0</v>
      </c>
      <c r="H453" s="31">
        <v>1</v>
      </c>
      <c r="I453" s="31" t="e">
        <f t="shared" ca="1" si="0"/>
        <v>#NAME?</v>
      </c>
      <c r="M453" s="31">
        <f t="shared" si="1"/>
        <v>0</v>
      </c>
    </row>
    <row r="454" spans="1:13" ht="13">
      <c r="A454" s="33" t="str">
        <f t="shared" si="15"/>
        <v>NextGen AML: Distributed Deep Learning based Language Technologies
to Augment Anti Money Laundering Investigation</v>
      </c>
      <c r="B454" s="31" t="s">
        <v>62</v>
      </c>
      <c r="C454" s="31" t="s">
        <v>911</v>
      </c>
      <c r="D454" s="31">
        <v>0</v>
      </c>
      <c r="E454" s="31">
        <v>0</v>
      </c>
      <c r="F454" s="31" t="s">
        <v>912</v>
      </c>
      <c r="G454" s="31">
        <v>0</v>
      </c>
      <c r="H454" s="31">
        <v>1</v>
      </c>
      <c r="I454" s="31" t="e">
        <f t="shared" ca="1" si="0"/>
        <v>#NAME?</v>
      </c>
      <c r="M454" s="31">
        <f t="shared" si="1"/>
        <v>0</v>
      </c>
    </row>
    <row r="455" spans="1:13" ht="13">
      <c r="A455" s="33" t="str">
        <f t="shared" si="15"/>
        <v>NextGen AML: Distributed Deep Learning based Language Technologies
to Augment Anti Money Laundering Investigation</v>
      </c>
      <c r="B455" s="31" t="s">
        <v>62</v>
      </c>
      <c r="C455" s="31" t="s">
        <v>913</v>
      </c>
      <c r="D455" s="31">
        <v>0</v>
      </c>
      <c r="E455" s="31">
        <v>0</v>
      </c>
      <c r="F455" s="31" t="s">
        <v>914</v>
      </c>
      <c r="G455" s="31">
        <v>0</v>
      </c>
      <c r="H455" s="31">
        <v>1</v>
      </c>
      <c r="I455" s="31" t="e">
        <f t="shared" ca="1" si="0"/>
        <v>#NAME?</v>
      </c>
      <c r="M455" s="31">
        <f t="shared" si="1"/>
        <v>0</v>
      </c>
    </row>
    <row r="456" spans="1:13" ht="13">
      <c r="A456" s="33" t="str">
        <f t="shared" si="15"/>
        <v>NextGen AML: Distributed Deep Learning based Language Technologies
to Augment Anti Money Laundering Investigation</v>
      </c>
      <c r="B456" s="31" t="s">
        <v>62</v>
      </c>
      <c r="C456" s="31" t="s">
        <v>915</v>
      </c>
      <c r="D456" s="31">
        <v>0</v>
      </c>
      <c r="E456" s="31">
        <v>0</v>
      </c>
      <c r="F456" s="31" t="s">
        <v>916</v>
      </c>
      <c r="G456" s="31">
        <v>0</v>
      </c>
      <c r="H456" s="31">
        <v>1</v>
      </c>
      <c r="I456" s="31" t="e">
        <f t="shared" ca="1" si="0"/>
        <v>#NAME?</v>
      </c>
      <c r="M456" s="31">
        <f t="shared" si="1"/>
        <v>0</v>
      </c>
    </row>
    <row r="457" spans="1:13" ht="13">
      <c r="A457" s="33" t="str">
        <f>HYPERLINK("http://aclweb.org/anthology/N18-1012","Dear Sir or Madam, May I Introduce the GYAFC Dataset: Corpus, Benchmarks and Metrics for Formality Style Transfer")</f>
        <v>Dear Sir or Madam, May I Introduce the GYAFC Dataset: Corpus, Benchmarks and Metrics for Formality Style Transfer</v>
      </c>
      <c r="B457" s="31" t="s">
        <v>62</v>
      </c>
      <c r="C457" s="33" t="s">
        <v>820</v>
      </c>
      <c r="D457" s="31">
        <v>0</v>
      </c>
      <c r="E457" s="31">
        <v>1</v>
      </c>
      <c r="F457" s="31" t="s">
        <v>917</v>
      </c>
      <c r="G457" s="31">
        <v>0</v>
      </c>
      <c r="H457" s="31">
        <v>1</v>
      </c>
      <c r="I457" s="31" t="e">
        <f t="shared" ca="1" si="0"/>
        <v>#NAME?</v>
      </c>
      <c r="K457" s="31" t="s">
        <v>879</v>
      </c>
      <c r="L457" s="31">
        <v>1</v>
      </c>
      <c r="M457" s="31">
        <f t="shared" si="1"/>
        <v>1</v>
      </c>
    </row>
    <row r="458" spans="1:13" ht="13">
      <c r="A458" s="31" t="s">
        <v>918</v>
      </c>
      <c r="B458" s="31" t="s">
        <v>28</v>
      </c>
      <c r="C458" s="33" t="s">
        <v>919</v>
      </c>
      <c r="D458" s="31">
        <v>0</v>
      </c>
      <c r="E458" s="31">
        <v>0</v>
      </c>
      <c r="F458" s="31" t="s">
        <v>920</v>
      </c>
      <c r="G458" s="31">
        <v>0</v>
      </c>
      <c r="H458" s="31">
        <v>1</v>
      </c>
      <c r="I458" s="31" t="e">
        <f t="shared" ca="1" si="0"/>
        <v>#NAME?</v>
      </c>
      <c r="L458" s="31">
        <v>0</v>
      </c>
      <c r="M458" s="31">
        <f t="shared" si="1"/>
        <v>1</v>
      </c>
    </row>
    <row r="459" spans="1:13" ht="13">
      <c r="A459" s="31" t="s">
        <v>918</v>
      </c>
      <c r="B459" s="31" t="s">
        <v>28</v>
      </c>
      <c r="C459" s="33" t="s">
        <v>919</v>
      </c>
      <c r="D459" s="31">
        <v>0</v>
      </c>
      <c r="E459" s="31">
        <v>0</v>
      </c>
      <c r="F459" s="31" t="s">
        <v>921</v>
      </c>
      <c r="G459" s="31">
        <v>0</v>
      </c>
      <c r="H459" s="31">
        <v>1</v>
      </c>
      <c r="L459" s="31">
        <v>0</v>
      </c>
      <c r="M459" s="31">
        <f t="shared" si="1"/>
        <v>0</v>
      </c>
    </row>
    <row r="460" spans="1:13" ht="13">
      <c r="A460" s="31" t="s">
        <v>918</v>
      </c>
      <c r="B460" s="31" t="s">
        <v>28</v>
      </c>
      <c r="C460" s="33" t="s">
        <v>919</v>
      </c>
      <c r="D460" s="31">
        <v>0</v>
      </c>
      <c r="E460" s="31">
        <v>0</v>
      </c>
      <c r="F460" s="31" t="s">
        <v>922</v>
      </c>
      <c r="G460" s="31">
        <v>0</v>
      </c>
      <c r="H460" s="31">
        <v>1</v>
      </c>
      <c r="L460" s="31">
        <v>0</v>
      </c>
      <c r="M460" s="31">
        <f t="shared" si="1"/>
        <v>0</v>
      </c>
    </row>
    <row r="461" spans="1:13" ht="13">
      <c r="A461" s="31" t="s">
        <v>923</v>
      </c>
      <c r="B461" s="31" t="s">
        <v>28</v>
      </c>
      <c r="C461" s="33" t="s">
        <v>924</v>
      </c>
      <c r="D461" s="31">
        <v>1</v>
      </c>
      <c r="E461" s="31">
        <v>0</v>
      </c>
      <c r="G461" s="34"/>
      <c r="I461" s="31" t="str">
        <f t="shared" ref="I461:I465" si="16">IF(OR(ISBLANK(G461), ISBLANK(H461)), "", IF(AND(EQ(G461, 1), EQ(H461, 1)), 1, 0))</f>
        <v/>
      </c>
      <c r="K461" s="31" t="s">
        <v>925</v>
      </c>
      <c r="L461" s="31">
        <v>0</v>
      </c>
      <c r="M461" s="31">
        <f t="shared" si="1"/>
        <v>1</v>
      </c>
    </row>
    <row r="462" spans="1:13" ht="13">
      <c r="A462" s="31" t="s">
        <v>926</v>
      </c>
      <c r="B462" s="31" t="s">
        <v>28</v>
      </c>
      <c r="C462" s="33" t="s">
        <v>927</v>
      </c>
      <c r="D462" s="31">
        <v>0</v>
      </c>
      <c r="E462" s="31">
        <v>1</v>
      </c>
      <c r="F462" s="31" t="s">
        <v>928</v>
      </c>
      <c r="G462" s="31">
        <v>0</v>
      </c>
      <c r="H462" s="31">
        <v>1</v>
      </c>
      <c r="I462" s="31" t="e">
        <f t="shared" ca="1" si="16"/>
        <v>#NAME?</v>
      </c>
      <c r="J462" s="33" t="s">
        <v>929</v>
      </c>
      <c r="L462" s="31">
        <v>0</v>
      </c>
      <c r="M462" s="31">
        <f t="shared" si="1"/>
        <v>1</v>
      </c>
    </row>
    <row r="463" spans="1:13" ht="13">
      <c r="A463" s="31" t="s">
        <v>930</v>
      </c>
      <c r="B463" s="31" t="s">
        <v>28</v>
      </c>
      <c r="C463" s="33" t="s">
        <v>931</v>
      </c>
      <c r="D463" s="31">
        <v>1</v>
      </c>
      <c r="E463" s="31">
        <v>0</v>
      </c>
      <c r="G463" s="34"/>
      <c r="I463" s="31" t="str">
        <f t="shared" si="16"/>
        <v/>
      </c>
      <c r="L463" s="31">
        <v>0</v>
      </c>
      <c r="M463" s="31">
        <f t="shared" si="1"/>
        <v>1</v>
      </c>
    </row>
    <row r="464" spans="1:13" ht="13">
      <c r="A464" s="31" t="s">
        <v>932</v>
      </c>
      <c r="B464" s="31" t="s">
        <v>28</v>
      </c>
      <c r="C464" s="33" t="s">
        <v>933</v>
      </c>
      <c r="D464" s="31">
        <v>0</v>
      </c>
      <c r="E464" s="31">
        <v>1</v>
      </c>
      <c r="F464" s="31" t="s">
        <v>934</v>
      </c>
      <c r="G464" s="31">
        <v>0</v>
      </c>
      <c r="H464" s="31">
        <v>1</v>
      </c>
      <c r="I464" s="31" t="e">
        <f t="shared" ca="1" si="16"/>
        <v>#NAME?</v>
      </c>
      <c r="J464" s="31" t="s">
        <v>935</v>
      </c>
      <c r="L464" s="31">
        <v>0</v>
      </c>
      <c r="M464" s="31">
        <f t="shared" si="1"/>
        <v>1</v>
      </c>
    </row>
    <row r="465" spans="1:13" ht="13">
      <c r="A465" s="31" t="s">
        <v>936</v>
      </c>
      <c r="B465" s="31" t="s">
        <v>28</v>
      </c>
      <c r="C465" s="33" t="s">
        <v>937</v>
      </c>
      <c r="D465" s="31">
        <v>0</v>
      </c>
      <c r="E465" s="31">
        <v>0</v>
      </c>
      <c r="F465" s="31" t="s">
        <v>938</v>
      </c>
      <c r="G465" s="31">
        <v>0</v>
      </c>
      <c r="H465" s="31">
        <v>1</v>
      </c>
      <c r="I465" s="31" t="e">
        <f t="shared" ca="1" si="16"/>
        <v>#NAME?</v>
      </c>
      <c r="L465" s="31">
        <v>1</v>
      </c>
      <c r="M465" s="31">
        <f t="shared" si="1"/>
        <v>1</v>
      </c>
    </row>
    <row r="466" spans="1:13" ht="13">
      <c r="A466" s="31" t="s">
        <v>936</v>
      </c>
      <c r="B466" s="31" t="s">
        <v>28</v>
      </c>
      <c r="C466" s="33" t="s">
        <v>937</v>
      </c>
      <c r="D466" s="31">
        <v>0</v>
      </c>
      <c r="E466" s="31">
        <v>0</v>
      </c>
      <c r="F466" s="31" t="s">
        <v>939</v>
      </c>
      <c r="L466" s="31">
        <v>1</v>
      </c>
      <c r="M466" s="31">
        <f t="shared" si="1"/>
        <v>0</v>
      </c>
    </row>
    <row r="467" spans="1:13" ht="13">
      <c r="A467" s="31" t="s">
        <v>936</v>
      </c>
      <c r="B467" s="31" t="s">
        <v>28</v>
      </c>
      <c r="C467" s="33" t="s">
        <v>937</v>
      </c>
      <c r="D467" s="31">
        <v>0</v>
      </c>
      <c r="E467" s="31">
        <v>0</v>
      </c>
      <c r="F467" s="31" t="s">
        <v>940</v>
      </c>
      <c r="J467" s="41" t="s">
        <v>941</v>
      </c>
      <c r="L467" s="31">
        <v>1</v>
      </c>
      <c r="M467" s="31">
        <f t="shared" si="1"/>
        <v>0</v>
      </c>
    </row>
    <row r="468" spans="1:13" ht="13">
      <c r="A468" s="31" t="s">
        <v>936</v>
      </c>
      <c r="B468" s="31" t="s">
        <v>28</v>
      </c>
      <c r="C468" s="33" t="s">
        <v>937</v>
      </c>
      <c r="D468" s="31">
        <v>0</v>
      </c>
      <c r="E468" s="31">
        <v>0</v>
      </c>
      <c r="F468" s="31" t="s">
        <v>127</v>
      </c>
      <c r="J468" s="31" t="s">
        <v>943</v>
      </c>
      <c r="L468" s="31">
        <v>1</v>
      </c>
      <c r="M468" s="31">
        <f t="shared" si="1"/>
        <v>0</v>
      </c>
    </row>
    <row r="469" spans="1:13" ht="13">
      <c r="A469" s="31" t="s">
        <v>944</v>
      </c>
      <c r="B469" s="31" t="s">
        <v>28</v>
      </c>
      <c r="C469" s="33" t="s">
        <v>945</v>
      </c>
      <c r="D469" s="31">
        <v>0</v>
      </c>
      <c r="E469" s="31">
        <v>0</v>
      </c>
      <c r="F469" s="31" t="s">
        <v>947</v>
      </c>
      <c r="G469" s="31">
        <v>0</v>
      </c>
      <c r="H469" s="31">
        <v>1</v>
      </c>
      <c r="I469" s="31" t="e">
        <f ca="1">IF(OR(ISBLANK(G469), ISBLANK(H469)), "", IF(AND(EQ(G469, 1), EQ(H469, 1)), 1, 0))</f>
        <v>#NAME?</v>
      </c>
      <c r="L469" s="31">
        <v>0</v>
      </c>
      <c r="M469" s="31">
        <f t="shared" si="1"/>
        <v>1</v>
      </c>
    </row>
    <row r="470" spans="1:13" ht="13">
      <c r="A470" s="31" t="s">
        <v>944</v>
      </c>
      <c r="B470" s="31" t="s">
        <v>28</v>
      </c>
      <c r="C470" s="33" t="s">
        <v>945</v>
      </c>
      <c r="D470" s="31">
        <v>0</v>
      </c>
      <c r="E470" s="31">
        <v>0</v>
      </c>
      <c r="F470" s="31" t="s">
        <v>952</v>
      </c>
      <c r="G470" s="31">
        <v>0</v>
      </c>
      <c r="H470" s="31">
        <v>1</v>
      </c>
      <c r="L470" s="31">
        <v>0</v>
      </c>
      <c r="M470" s="31">
        <f t="shared" si="1"/>
        <v>0</v>
      </c>
    </row>
    <row r="471" spans="1:13" ht="13">
      <c r="A471" s="31" t="s">
        <v>944</v>
      </c>
      <c r="B471" s="31" t="s">
        <v>28</v>
      </c>
      <c r="C471" s="33" t="s">
        <v>945</v>
      </c>
      <c r="D471" s="31">
        <v>0</v>
      </c>
      <c r="E471" s="31">
        <v>0</v>
      </c>
      <c r="F471" s="41" t="s">
        <v>955</v>
      </c>
      <c r="G471" s="31">
        <v>0</v>
      </c>
      <c r="H471" s="31">
        <v>1</v>
      </c>
      <c r="L471" s="31">
        <v>0</v>
      </c>
      <c r="M471" s="31">
        <f t="shared" si="1"/>
        <v>0</v>
      </c>
    </row>
    <row r="472" spans="1:13" ht="13">
      <c r="A472" s="33" t="str">
        <f>HYPERLINK("http://aclweb.org/anthology/N18-1013","Improving Implicit Discourse Relation Classification by Modeling Inter-dependencies of Discourse Units in a Paragraph")</f>
        <v>Improving Implicit Discourse Relation Classification by Modeling Inter-dependencies of Discourse Units in a Paragraph</v>
      </c>
      <c r="B472" s="31" t="s">
        <v>62</v>
      </c>
      <c r="C472" s="33" t="s">
        <v>883</v>
      </c>
      <c r="D472" s="31">
        <v>0</v>
      </c>
      <c r="E472" s="31">
        <v>0</v>
      </c>
      <c r="F472" s="31" t="s">
        <v>956</v>
      </c>
      <c r="G472" s="31">
        <v>0</v>
      </c>
      <c r="H472" s="31">
        <v>1</v>
      </c>
      <c r="I472" s="31" t="e">
        <f t="shared" ref="I472:I502" ca="1" si="17">IF(OR(ISBLANK(G472), ISBLANK(H472)), "", IF(AND(EQ(G472, 1), EQ(H472, 1)), 1, 0))</f>
        <v>#NAME?</v>
      </c>
      <c r="L472" s="31">
        <v>0</v>
      </c>
      <c r="M472" s="31">
        <f t="shared" si="1"/>
        <v>1</v>
      </c>
    </row>
    <row r="473" spans="1:13" ht="13">
      <c r="A473" s="33" t="str">
        <f t="shared" ref="A473:A475" si="18">HYPERLINK("http://aclweb.org/anthology/N18-1014","A Deep Ensemble Model with Slot Alignment for Sequence-to-Sequence
Natural Language Generation")</f>
        <v>A Deep Ensemble Model with Slot Alignment for Sequence-to-Sequence
Natural Language Generation</v>
      </c>
      <c r="B473" s="31" t="s">
        <v>62</v>
      </c>
      <c r="C473" s="33" t="s">
        <v>957</v>
      </c>
      <c r="D473" s="31">
        <v>0</v>
      </c>
      <c r="E473" s="31">
        <v>0</v>
      </c>
      <c r="F473" s="31" t="s">
        <v>958</v>
      </c>
      <c r="G473" s="31">
        <v>0</v>
      </c>
      <c r="H473" s="31">
        <v>1</v>
      </c>
      <c r="I473" s="31" t="e">
        <f t="shared" ca="1" si="17"/>
        <v>#NAME?</v>
      </c>
      <c r="L473" s="31">
        <v>0</v>
      </c>
      <c r="M473" s="31">
        <f t="shared" si="1"/>
        <v>1</v>
      </c>
    </row>
    <row r="474" spans="1:13" ht="13">
      <c r="A474" s="33" t="str">
        <f t="shared" si="18"/>
        <v>A Deep Ensemble Model with Slot Alignment for Sequence-to-Sequence
Natural Language Generation</v>
      </c>
      <c r="B474" s="31" t="s">
        <v>62</v>
      </c>
      <c r="C474" s="31" t="s">
        <v>959</v>
      </c>
      <c r="D474" s="31">
        <v>0</v>
      </c>
      <c r="E474" s="31">
        <v>0</v>
      </c>
      <c r="F474" s="31" t="s">
        <v>960</v>
      </c>
      <c r="G474" s="31">
        <v>0</v>
      </c>
      <c r="H474" s="31">
        <v>1</v>
      </c>
      <c r="I474" s="31" t="e">
        <f t="shared" ca="1" si="17"/>
        <v>#NAME?</v>
      </c>
      <c r="L474" s="31">
        <v>0</v>
      </c>
      <c r="M474" s="31">
        <f t="shared" si="1"/>
        <v>0</v>
      </c>
    </row>
    <row r="475" spans="1:13" ht="13">
      <c r="A475" s="33" t="str">
        <f t="shared" si="18"/>
        <v>A Deep Ensemble Model with Slot Alignment for Sequence-to-Sequence
Natural Language Generation</v>
      </c>
      <c r="B475" s="31" t="s">
        <v>62</v>
      </c>
      <c r="C475" s="31" t="s">
        <v>961</v>
      </c>
      <c r="D475" s="31">
        <v>0</v>
      </c>
      <c r="E475" s="31">
        <v>0</v>
      </c>
      <c r="F475" s="31" t="s">
        <v>962</v>
      </c>
      <c r="G475" s="31">
        <v>0</v>
      </c>
      <c r="H475" s="31">
        <v>1</v>
      </c>
      <c r="I475" s="31" t="e">
        <f t="shared" ca="1" si="17"/>
        <v>#NAME?</v>
      </c>
      <c r="L475" s="31">
        <v>0</v>
      </c>
      <c r="M475" s="31">
        <f t="shared" si="1"/>
        <v>0</v>
      </c>
    </row>
    <row r="476" spans="1:13" ht="13">
      <c r="A476" s="33" t="str">
        <f>HYPERLINK("http://aclweb.org/anthology/D18-1334","Getting Gender Right in Neural Machine Translation")</f>
        <v>Getting Gender Right in Neural Machine Translation</v>
      </c>
      <c r="B476" s="31" t="s">
        <v>62</v>
      </c>
      <c r="C476" s="33" t="s">
        <v>963</v>
      </c>
      <c r="D476" s="31">
        <v>0</v>
      </c>
      <c r="E476" s="31">
        <v>0</v>
      </c>
      <c r="F476" s="31" t="s">
        <v>964</v>
      </c>
      <c r="G476" s="31">
        <v>0</v>
      </c>
      <c r="H476" s="31">
        <v>0</v>
      </c>
      <c r="I476" s="31" t="e">
        <f t="shared" ca="1" si="17"/>
        <v>#NAME?</v>
      </c>
      <c r="L476" s="31">
        <v>0</v>
      </c>
      <c r="M476" s="31">
        <f t="shared" si="1"/>
        <v>1</v>
      </c>
    </row>
    <row r="477" spans="1:13" ht="13">
      <c r="A477" s="33" t="str">
        <f t="shared" ref="A477:A482" si="19">HYPERLINK("http://aclweb.org/anthology/D18-1350","Investigating Capsule Networks with Dynamic Routing for Text Classification")</f>
        <v>Investigating Capsule Networks with Dynamic Routing for Text Classification</v>
      </c>
      <c r="B477" s="31" t="s">
        <v>62</v>
      </c>
      <c r="C477" s="33" t="s">
        <v>965</v>
      </c>
      <c r="D477" s="31">
        <v>0</v>
      </c>
      <c r="E477" s="31">
        <v>1</v>
      </c>
      <c r="F477" s="31" t="s">
        <v>966</v>
      </c>
      <c r="G477" s="31">
        <v>0</v>
      </c>
      <c r="H477" s="31">
        <v>1</v>
      </c>
      <c r="I477" s="31" t="e">
        <f t="shared" ca="1" si="17"/>
        <v>#NAME?</v>
      </c>
      <c r="L477" s="31">
        <v>0</v>
      </c>
      <c r="M477" s="31">
        <f t="shared" si="1"/>
        <v>1</v>
      </c>
    </row>
    <row r="478" spans="1:13" ht="13">
      <c r="A478" s="33" t="str">
        <f t="shared" si="19"/>
        <v>Investigating Capsule Networks with Dynamic Routing for Text Classification</v>
      </c>
      <c r="B478" s="31" t="s">
        <v>62</v>
      </c>
      <c r="C478" s="31" t="s">
        <v>968</v>
      </c>
      <c r="D478" s="31">
        <v>0</v>
      </c>
      <c r="E478" s="31">
        <v>1</v>
      </c>
      <c r="F478" s="31" t="s">
        <v>969</v>
      </c>
      <c r="G478" s="31">
        <v>0</v>
      </c>
      <c r="H478" s="31">
        <v>1</v>
      </c>
      <c r="I478" s="31" t="e">
        <f t="shared" ca="1" si="17"/>
        <v>#NAME?</v>
      </c>
      <c r="L478" s="31">
        <v>0</v>
      </c>
      <c r="M478" s="31">
        <f t="shared" si="1"/>
        <v>0</v>
      </c>
    </row>
    <row r="479" spans="1:13" ht="13">
      <c r="A479" s="33" t="str">
        <f t="shared" si="19"/>
        <v>Investigating Capsule Networks with Dynamic Routing for Text Classification</v>
      </c>
      <c r="B479" s="31" t="s">
        <v>62</v>
      </c>
      <c r="C479" s="31" t="s">
        <v>971</v>
      </c>
      <c r="D479" s="31">
        <v>0</v>
      </c>
      <c r="E479" s="31">
        <v>1</v>
      </c>
      <c r="F479" s="31" t="s">
        <v>972</v>
      </c>
      <c r="G479" s="31">
        <v>0</v>
      </c>
      <c r="H479" s="31">
        <v>1</v>
      </c>
      <c r="I479" s="31" t="e">
        <f t="shared" ca="1" si="17"/>
        <v>#NAME?</v>
      </c>
      <c r="L479" s="31">
        <v>0</v>
      </c>
      <c r="M479" s="31">
        <f t="shared" si="1"/>
        <v>0</v>
      </c>
    </row>
    <row r="480" spans="1:13" ht="13">
      <c r="A480" s="33" t="str">
        <f t="shared" si="19"/>
        <v>Investigating Capsule Networks with Dynamic Routing for Text Classification</v>
      </c>
      <c r="B480" s="31" t="s">
        <v>62</v>
      </c>
      <c r="C480" s="31" t="s">
        <v>973</v>
      </c>
      <c r="D480" s="31">
        <v>0</v>
      </c>
      <c r="E480" s="31">
        <v>1</v>
      </c>
      <c r="F480" s="31" t="s">
        <v>975</v>
      </c>
      <c r="G480" s="31">
        <v>0</v>
      </c>
      <c r="H480" s="31">
        <v>1</v>
      </c>
      <c r="I480" s="31" t="e">
        <f t="shared" ca="1" si="17"/>
        <v>#NAME?</v>
      </c>
      <c r="L480" s="31">
        <v>0</v>
      </c>
      <c r="M480" s="31">
        <f t="shared" si="1"/>
        <v>0</v>
      </c>
    </row>
    <row r="481" spans="1:13" ht="13">
      <c r="A481" s="33" t="str">
        <f t="shared" si="19"/>
        <v>Investigating Capsule Networks with Dynamic Routing for Text Classification</v>
      </c>
      <c r="B481" s="31" t="s">
        <v>62</v>
      </c>
      <c r="C481" s="31" t="s">
        <v>977</v>
      </c>
      <c r="D481" s="31">
        <v>0</v>
      </c>
      <c r="E481" s="31">
        <v>1</v>
      </c>
      <c r="F481" s="31" t="s">
        <v>978</v>
      </c>
      <c r="G481" s="31">
        <v>0</v>
      </c>
      <c r="H481" s="31">
        <v>1</v>
      </c>
      <c r="I481" s="31" t="e">
        <f t="shared" ca="1" si="17"/>
        <v>#NAME?</v>
      </c>
      <c r="L481" s="31">
        <v>0</v>
      </c>
      <c r="M481" s="31">
        <f t="shared" si="1"/>
        <v>0</v>
      </c>
    </row>
    <row r="482" spans="1:13" ht="13">
      <c r="A482" s="33" t="str">
        <f t="shared" si="19"/>
        <v>Investigating Capsule Networks with Dynamic Routing for Text Classification</v>
      </c>
      <c r="B482" s="31" t="s">
        <v>62</v>
      </c>
      <c r="C482" s="31" t="s">
        <v>979</v>
      </c>
      <c r="D482" s="31">
        <v>0</v>
      </c>
      <c r="E482" s="31">
        <v>1</v>
      </c>
      <c r="F482" s="31" t="s">
        <v>980</v>
      </c>
      <c r="G482" s="31">
        <v>0</v>
      </c>
      <c r="H482" s="31">
        <v>1</v>
      </c>
      <c r="I482" s="31" t="e">
        <f t="shared" ca="1" si="17"/>
        <v>#NAME?</v>
      </c>
      <c r="L482" s="31">
        <v>0</v>
      </c>
      <c r="M482" s="31">
        <f t="shared" si="1"/>
        <v>0</v>
      </c>
    </row>
    <row r="483" spans="1:13" ht="13">
      <c r="A483" s="33" t="str">
        <f>HYPERLINK("http://aclweb.org/anthology/D18-1008","Textual Analogy Parsing: What’s Shared and What’s Compared among Analogous Facts")</f>
        <v>Textual Analogy Parsing: What’s Shared and What’s Compared among Analogous Facts</v>
      </c>
      <c r="B483" s="31" t="s">
        <v>62</v>
      </c>
      <c r="C483" s="33" t="s">
        <v>983</v>
      </c>
      <c r="D483" s="31">
        <v>0</v>
      </c>
      <c r="E483" s="31">
        <v>0</v>
      </c>
      <c r="F483" s="31" t="s">
        <v>986</v>
      </c>
      <c r="G483" s="31">
        <v>0</v>
      </c>
      <c r="H483" s="31">
        <v>0</v>
      </c>
      <c r="I483" s="31" t="e">
        <f t="shared" ca="1" si="17"/>
        <v>#NAME?</v>
      </c>
      <c r="K483" s="31" t="s">
        <v>987</v>
      </c>
      <c r="L483" s="31">
        <v>0</v>
      </c>
      <c r="M483" s="31">
        <f t="shared" si="1"/>
        <v>1</v>
      </c>
    </row>
    <row r="484" spans="1:13" ht="13">
      <c r="A484" s="33" t="str">
        <f t="shared" ref="A484:A486" si="20">HYPERLINK("http://aclweb.org/anthology/P18-2102","Extracting Commonsense Properties from Embeddings with Limited
Human Guidance")</f>
        <v>Extracting Commonsense Properties from Embeddings with Limited
Human Guidance</v>
      </c>
      <c r="B484" s="31" t="s">
        <v>62</v>
      </c>
      <c r="C484" s="33" t="s">
        <v>989</v>
      </c>
      <c r="D484" s="31">
        <v>0</v>
      </c>
      <c r="E484" s="31">
        <v>1</v>
      </c>
      <c r="F484" s="31" t="s">
        <v>990</v>
      </c>
      <c r="G484" s="31">
        <v>0</v>
      </c>
      <c r="H484" s="31">
        <v>1</v>
      </c>
      <c r="I484" s="31" t="e">
        <f t="shared" ca="1" si="17"/>
        <v>#NAME?</v>
      </c>
      <c r="L484" s="31">
        <v>1</v>
      </c>
      <c r="M484" s="31">
        <f t="shared" si="1"/>
        <v>1</v>
      </c>
    </row>
    <row r="485" spans="1:13" ht="13">
      <c r="A485" s="33" t="str">
        <f t="shared" si="20"/>
        <v>Extracting Commonsense Properties from Embeddings with Limited
Human Guidance</v>
      </c>
      <c r="B485" s="31" t="s">
        <v>62</v>
      </c>
      <c r="C485" s="31" t="s">
        <v>991</v>
      </c>
      <c r="D485" s="31">
        <v>0</v>
      </c>
      <c r="E485" s="31">
        <v>1</v>
      </c>
      <c r="F485" s="31" t="s">
        <v>992</v>
      </c>
      <c r="G485" s="31">
        <v>0</v>
      </c>
      <c r="H485" s="31">
        <v>1</v>
      </c>
      <c r="I485" s="31" t="e">
        <f t="shared" ca="1" si="17"/>
        <v>#NAME?</v>
      </c>
      <c r="K485" s="31" t="s">
        <v>879</v>
      </c>
      <c r="L485" s="31">
        <v>1</v>
      </c>
      <c r="M485" s="31">
        <f t="shared" si="1"/>
        <v>0</v>
      </c>
    </row>
    <row r="486" spans="1:13" ht="13">
      <c r="A486" s="33" t="str">
        <f t="shared" si="20"/>
        <v>Extracting Commonsense Properties from Embeddings with Limited
Human Guidance</v>
      </c>
      <c r="B486" s="31" t="s">
        <v>62</v>
      </c>
      <c r="C486" s="31" t="s">
        <v>993</v>
      </c>
      <c r="D486" s="31">
        <v>0</v>
      </c>
      <c r="E486" s="31">
        <v>1</v>
      </c>
      <c r="F486" s="31" t="s">
        <v>994</v>
      </c>
      <c r="G486" s="31">
        <v>0</v>
      </c>
      <c r="H486" s="31">
        <v>1</v>
      </c>
      <c r="I486" s="31" t="e">
        <f t="shared" ca="1" si="17"/>
        <v>#NAME?</v>
      </c>
      <c r="L486" s="31">
        <v>1</v>
      </c>
      <c r="M486" s="31">
        <f t="shared" si="1"/>
        <v>0</v>
      </c>
    </row>
    <row r="487" spans="1:13" ht="13">
      <c r="A487" s="33" t="str">
        <f t="shared" ref="A487:A489" si="21">HYPERLINK("http://aclweb.org/anthology/P18-1175","Training Classifiers with Natural Language Explanations")</f>
        <v>Training Classifiers with Natural Language Explanations</v>
      </c>
      <c r="B487" s="31" t="s">
        <v>62</v>
      </c>
      <c r="C487" s="33" t="s">
        <v>995</v>
      </c>
      <c r="D487" s="31">
        <v>0</v>
      </c>
      <c r="E487" s="31">
        <v>1</v>
      </c>
      <c r="F487" s="31" t="s">
        <v>996</v>
      </c>
      <c r="G487" s="31">
        <v>0</v>
      </c>
      <c r="H487" s="31">
        <v>1</v>
      </c>
      <c r="I487" s="31" t="e">
        <f t="shared" ca="1" si="17"/>
        <v>#NAME?</v>
      </c>
      <c r="K487" s="31" t="s">
        <v>879</v>
      </c>
      <c r="L487" s="31">
        <v>0</v>
      </c>
      <c r="M487" s="31">
        <f t="shared" si="1"/>
        <v>1</v>
      </c>
    </row>
    <row r="488" spans="1:13" ht="13">
      <c r="A488" s="33" t="str">
        <f t="shared" si="21"/>
        <v>Training Classifiers with Natural Language Explanations</v>
      </c>
      <c r="B488" s="31" t="s">
        <v>62</v>
      </c>
      <c r="C488" s="31" t="s">
        <v>997</v>
      </c>
      <c r="D488" s="31">
        <v>0</v>
      </c>
      <c r="E488" s="31">
        <v>1</v>
      </c>
      <c r="F488" s="31" t="s">
        <v>998</v>
      </c>
      <c r="G488" s="31">
        <v>0</v>
      </c>
      <c r="H488" s="31">
        <v>1</v>
      </c>
      <c r="I488" s="31" t="e">
        <f t="shared" ca="1" si="17"/>
        <v>#NAME?</v>
      </c>
      <c r="K488" s="31" t="s">
        <v>879</v>
      </c>
      <c r="L488" s="31">
        <v>0</v>
      </c>
      <c r="M488" s="31">
        <f t="shared" si="1"/>
        <v>0</v>
      </c>
    </row>
    <row r="489" spans="1:13" ht="13">
      <c r="A489" s="33" t="str">
        <f t="shared" si="21"/>
        <v>Training Classifiers with Natural Language Explanations</v>
      </c>
      <c r="B489" s="31" t="s">
        <v>62</v>
      </c>
      <c r="C489" s="31" t="s">
        <v>999</v>
      </c>
      <c r="D489" s="31">
        <v>0</v>
      </c>
      <c r="E489" s="31">
        <v>1</v>
      </c>
      <c r="F489" s="31" t="s">
        <v>1000</v>
      </c>
      <c r="G489" s="31">
        <v>0</v>
      </c>
      <c r="H489" s="31">
        <v>1</v>
      </c>
      <c r="I489" s="31" t="e">
        <f t="shared" ca="1" si="17"/>
        <v>#NAME?</v>
      </c>
      <c r="K489" s="31" t="s">
        <v>879</v>
      </c>
      <c r="L489" s="31">
        <v>0</v>
      </c>
      <c r="M489" s="31">
        <f t="shared" si="1"/>
        <v>0</v>
      </c>
    </row>
    <row r="490" spans="1:13" ht="13">
      <c r="A490" s="33" t="str">
        <f t="shared" ref="A490:A492" si="22">HYPERLINK("http://aclweb.org/anthology/P18-1096","Strong Baselines for Neural Semi-Supervised Learning
under Domain Shift")</f>
        <v>Strong Baselines for Neural Semi-Supervised Learning
under Domain Shift</v>
      </c>
      <c r="B490" s="31" t="s">
        <v>62</v>
      </c>
      <c r="C490" s="33" t="s">
        <v>1001</v>
      </c>
      <c r="D490" s="31">
        <v>0</v>
      </c>
      <c r="E490" s="31">
        <v>1</v>
      </c>
      <c r="F490" s="31" t="s">
        <v>1002</v>
      </c>
      <c r="G490" s="31">
        <v>0</v>
      </c>
      <c r="H490" s="31">
        <v>1</v>
      </c>
      <c r="I490" s="31" t="e">
        <f t="shared" ca="1" si="17"/>
        <v>#NAME?</v>
      </c>
      <c r="L490" s="31">
        <v>1</v>
      </c>
      <c r="M490" s="31">
        <f t="shared" si="1"/>
        <v>1</v>
      </c>
    </row>
    <row r="491" spans="1:13" ht="13">
      <c r="A491" s="33" t="str">
        <f t="shared" si="22"/>
        <v>Strong Baselines for Neural Semi-Supervised Learning
under Domain Shift</v>
      </c>
      <c r="B491" s="31" t="s">
        <v>62</v>
      </c>
      <c r="C491" s="31" t="s">
        <v>1003</v>
      </c>
      <c r="D491" s="31">
        <v>0</v>
      </c>
      <c r="E491" s="31">
        <v>1</v>
      </c>
      <c r="F491" s="31" t="s">
        <v>1004</v>
      </c>
      <c r="G491" s="31">
        <v>0</v>
      </c>
      <c r="H491" s="31">
        <v>1</v>
      </c>
      <c r="I491" s="31" t="e">
        <f t="shared" ca="1" si="17"/>
        <v>#NAME?</v>
      </c>
      <c r="L491" s="31">
        <v>1</v>
      </c>
      <c r="M491" s="31">
        <f t="shared" si="1"/>
        <v>0</v>
      </c>
    </row>
    <row r="492" spans="1:13" ht="13">
      <c r="A492" s="33" t="str">
        <f t="shared" si="22"/>
        <v>Strong Baselines for Neural Semi-Supervised Learning
under Domain Shift</v>
      </c>
      <c r="B492" s="31" t="s">
        <v>62</v>
      </c>
      <c r="C492" s="31" t="s">
        <v>1005</v>
      </c>
      <c r="D492" s="31">
        <v>0</v>
      </c>
      <c r="E492" s="31">
        <v>1</v>
      </c>
      <c r="F492" s="31" t="s">
        <v>1006</v>
      </c>
      <c r="G492" s="31">
        <v>0</v>
      </c>
      <c r="H492" s="31">
        <v>1</v>
      </c>
      <c r="I492" s="31" t="e">
        <f t="shared" ca="1" si="17"/>
        <v>#NAME?</v>
      </c>
      <c r="L492" s="31">
        <v>1</v>
      </c>
      <c r="M492" s="31">
        <f t="shared" si="1"/>
        <v>0</v>
      </c>
    </row>
    <row r="493" spans="1:13" ht="13">
      <c r="A493" s="31" t="s">
        <v>1007</v>
      </c>
      <c r="B493" s="31" t="s">
        <v>28</v>
      </c>
      <c r="C493" s="33" t="s">
        <v>1008</v>
      </c>
      <c r="D493" s="31">
        <v>0</v>
      </c>
      <c r="E493" s="31">
        <v>0</v>
      </c>
      <c r="F493" s="31" t="s">
        <v>345</v>
      </c>
      <c r="G493" s="31">
        <v>0</v>
      </c>
      <c r="H493" s="31">
        <v>0</v>
      </c>
      <c r="I493" s="31" t="e">
        <f t="shared" ca="1" si="17"/>
        <v>#NAME?</v>
      </c>
      <c r="L493" s="31">
        <v>0</v>
      </c>
      <c r="M493" s="31">
        <f t="shared" si="1"/>
        <v>1</v>
      </c>
    </row>
    <row r="494" spans="1:13" ht="13">
      <c r="A494" s="31" t="s">
        <v>1009</v>
      </c>
      <c r="B494" s="31" t="s">
        <v>28</v>
      </c>
      <c r="C494" s="33" t="s">
        <v>1010</v>
      </c>
      <c r="D494" s="31">
        <v>0</v>
      </c>
      <c r="E494" s="31">
        <v>1</v>
      </c>
      <c r="F494" s="31" t="s">
        <v>350</v>
      </c>
      <c r="G494" s="31">
        <v>0</v>
      </c>
      <c r="H494" s="31">
        <v>1</v>
      </c>
      <c r="I494" s="31" t="e">
        <f t="shared" ca="1" si="17"/>
        <v>#NAME?</v>
      </c>
      <c r="L494" s="31">
        <v>1</v>
      </c>
      <c r="M494" s="31">
        <f t="shared" si="1"/>
        <v>1</v>
      </c>
    </row>
    <row r="495" spans="1:13" ht="13">
      <c r="A495" s="31" t="s">
        <v>1011</v>
      </c>
      <c r="B495" s="31" t="s">
        <v>28</v>
      </c>
      <c r="C495" s="33" t="s">
        <v>1012</v>
      </c>
      <c r="D495" s="31">
        <v>0</v>
      </c>
      <c r="E495" s="31">
        <v>1</v>
      </c>
      <c r="F495" s="31" t="s">
        <v>1013</v>
      </c>
      <c r="G495" s="31">
        <v>0</v>
      </c>
      <c r="H495" s="31">
        <v>1</v>
      </c>
      <c r="I495" s="31" t="e">
        <f t="shared" ca="1" si="17"/>
        <v>#NAME?</v>
      </c>
      <c r="L495" s="31">
        <v>1</v>
      </c>
      <c r="M495" s="31">
        <f t="shared" si="1"/>
        <v>1</v>
      </c>
    </row>
    <row r="496" spans="1:13" ht="13">
      <c r="A496" s="31" t="s">
        <v>1014</v>
      </c>
      <c r="B496" s="31" t="s">
        <v>28</v>
      </c>
      <c r="C496" s="33" t="s">
        <v>1015</v>
      </c>
      <c r="D496" s="31">
        <v>0</v>
      </c>
      <c r="E496" s="31">
        <v>0</v>
      </c>
      <c r="F496" s="31" t="s">
        <v>1017</v>
      </c>
      <c r="G496" s="31">
        <v>0</v>
      </c>
      <c r="H496" s="31">
        <v>1</v>
      </c>
      <c r="I496" s="31" t="e">
        <f t="shared" ca="1" si="17"/>
        <v>#NAME?</v>
      </c>
      <c r="J496" s="33" t="s">
        <v>1018</v>
      </c>
      <c r="L496" s="31">
        <v>0</v>
      </c>
      <c r="M496" s="31">
        <f t="shared" si="1"/>
        <v>1</v>
      </c>
    </row>
    <row r="497" spans="1:13" ht="13">
      <c r="A497" s="31" t="s">
        <v>1014</v>
      </c>
      <c r="B497" s="31" t="s">
        <v>28</v>
      </c>
      <c r="C497" s="33" t="s">
        <v>1015</v>
      </c>
      <c r="D497" s="31">
        <v>0</v>
      </c>
      <c r="E497" s="31">
        <v>0</v>
      </c>
      <c r="F497" s="31" t="s">
        <v>1022</v>
      </c>
      <c r="G497" s="31">
        <v>0</v>
      </c>
      <c r="H497" s="31">
        <v>1</v>
      </c>
      <c r="I497" s="31" t="e">
        <f t="shared" ca="1" si="17"/>
        <v>#NAME?</v>
      </c>
      <c r="J497" s="33" t="s">
        <v>1018</v>
      </c>
      <c r="L497" s="31">
        <v>0</v>
      </c>
      <c r="M497" s="31">
        <f t="shared" si="1"/>
        <v>0</v>
      </c>
    </row>
    <row r="498" spans="1:13" ht="13">
      <c r="A498" s="31" t="s">
        <v>1014</v>
      </c>
      <c r="B498" s="31" t="s">
        <v>28</v>
      </c>
      <c r="C498" s="33" t="s">
        <v>1015</v>
      </c>
      <c r="D498" s="31">
        <v>0</v>
      </c>
      <c r="E498" s="31">
        <v>0</v>
      </c>
      <c r="F498" s="31" t="s">
        <v>1026</v>
      </c>
      <c r="G498" s="31">
        <v>0</v>
      </c>
      <c r="H498" s="31">
        <v>1</v>
      </c>
      <c r="I498" s="31" t="e">
        <f t="shared" ca="1" si="17"/>
        <v>#NAME?</v>
      </c>
      <c r="L498" s="31">
        <v>0</v>
      </c>
      <c r="M498" s="31">
        <f t="shared" si="1"/>
        <v>0</v>
      </c>
    </row>
    <row r="499" spans="1:13" ht="13">
      <c r="A499" s="31" t="s">
        <v>1014</v>
      </c>
      <c r="B499" s="31" t="s">
        <v>28</v>
      </c>
      <c r="C499" s="33" t="s">
        <v>1015</v>
      </c>
      <c r="D499" s="31">
        <v>0</v>
      </c>
      <c r="E499" s="31">
        <v>0</v>
      </c>
      <c r="F499" s="31" t="s">
        <v>1027</v>
      </c>
      <c r="G499" s="31">
        <v>0</v>
      </c>
      <c r="H499" s="31">
        <v>1</v>
      </c>
      <c r="I499" s="31" t="e">
        <f t="shared" ca="1" si="17"/>
        <v>#NAME?</v>
      </c>
      <c r="L499" s="31">
        <v>0</v>
      </c>
      <c r="M499" s="31">
        <f t="shared" si="1"/>
        <v>0</v>
      </c>
    </row>
    <row r="500" spans="1:13" ht="13">
      <c r="A500" s="31" t="s">
        <v>1014</v>
      </c>
      <c r="B500" s="31" t="s">
        <v>28</v>
      </c>
      <c r="C500" s="33" t="s">
        <v>1015</v>
      </c>
      <c r="D500" s="31">
        <v>0</v>
      </c>
      <c r="E500" s="31">
        <v>0</v>
      </c>
      <c r="F500" s="31" t="s">
        <v>1028</v>
      </c>
      <c r="G500" s="31">
        <v>0</v>
      </c>
      <c r="H500" s="31">
        <v>1</v>
      </c>
      <c r="I500" s="31" t="e">
        <f t="shared" ca="1" si="17"/>
        <v>#NAME?</v>
      </c>
      <c r="L500" s="31">
        <v>0</v>
      </c>
      <c r="M500" s="31">
        <f t="shared" si="1"/>
        <v>0</v>
      </c>
    </row>
    <row r="501" spans="1:13" ht="13">
      <c r="A501" s="31" t="s">
        <v>1014</v>
      </c>
      <c r="B501" s="31" t="s">
        <v>28</v>
      </c>
      <c r="C501" s="33" t="s">
        <v>1015</v>
      </c>
      <c r="D501" s="31">
        <v>0</v>
      </c>
      <c r="E501" s="31">
        <v>0</v>
      </c>
      <c r="F501" s="31" t="s">
        <v>1029</v>
      </c>
      <c r="G501" s="31">
        <v>0</v>
      </c>
      <c r="H501" s="31">
        <v>1</v>
      </c>
      <c r="I501" s="31" t="e">
        <f t="shared" ca="1" si="17"/>
        <v>#NAME?</v>
      </c>
      <c r="L501" s="31">
        <v>0</v>
      </c>
      <c r="M501" s="31">
        <f t="shared" si="1"/>
        <v>0</v>
      </c>
    </row>
    <row r="502" spans="1:13" ht="13">
      <c r="A502" s="31" t="s">
        <v>1030</v>
      </c>
      <c r="B502" s="31" t="s">
        <v>28</v>
      </c>
      <c r="C502" s="33" t="s">
        <v>1031</v>
      </c>
      <c r="D502" s="31">
        <v>0</v>
      </c>
      <c r="E502" s="31">
        <v>1</v>
      </c>
      <c r="F502" s="31" t="s">
        <v>1032</v>
      </c>
      <c r="G502" s="31">
        <v>0</v>
      </c>
      <c r="H502" s="31">
        <v>1</v>
      </c>
      <c r="I502" s="31" t="e">
        <f t="shared" ca="1" si="17"/>
        <v>#NAME?</v>
      </c>
      <c r="J502" s="33" t="s">
        <v>1033</v>
      </c>
      <c r="L502" s="31">
        <v>1</v>
      </c>
      <c r="M502" s="31">
        <f t="shared" si="1"/>
        <v>1</v>
      </c>
    </row>
    <row r="503" spans="1:13" ht="13">
      <c r="A503" s="31" t="s">
        <v>1030</v>
      </c>
      <c r="B503" s="31" t="s">
        <v>28</v>
      </c>
      <c r="C503" s="33" t="s">
        <v>1031</v>
      </c>
      <c r="D503" s="31">
        <v>0</v>
      </c>
      <c r="E503" s="31">
        <v>1</v>
      </c>
      <c r="F503" s="31" t="s">
        <v>1029</v>
      </c>
      <c r="G503" s="31">
        <v>0</v>
      </c>
      <c r="H503" s="31">
        <v>1</v>
      </c>
      <c r="J503" s="31" t="s">
        <v>1034</v>
      </c>
      <c r="L503" s="31">
        <v>1</v>
      </c>
      <c r="M503" s="31">
        <f t="shared" si="1"/>
        <v>0</v>
      </c>
    </row>
    <row r="504" spans="1:13" ht="13">
      <c r="A504" s="33" t="str">
        <f>HYPERLINK("http://aclweb.org/anthology/N18-1015","A Melody-conditioned Lyrics Language Model")</f>
        <v>A Melody-conditioned Lyrics Language Model</v>
      </c>
      <c r="B504" s="31" t="s">
        <v>62</v>
      </c>
      <c r="C504" s="33" t="s">
        <v>959</v>
      </c>
      <c r="D504" s="31">
        <v>0</v>
      </c>
      <c r="E504" s="31">
        <v>0</v>
      </c>
      <c r="F504" s="31" t="s">
        <v>1035</v>
      </c>
      <c r="G504" s="31">
        <v>0</v>
      </c>
      <c r="H504" s="31">
        <v>1</v>
      </c>
      <c r="I504" s="31" t="e">
        <f t="shared" ref="I504:I518" ca="1" si="23">IF(OR(ISBLANK(G504), ISBLANK(H504)), "", IF(AND(EQ(G504, 1), EQ(H504, 1)), 1, 0))</f>
        <v>#NAME?</v>
      </c>
      <c r="K504" s="31" t="s">
        <v>1036</v>
      </c>
      <c r="L504" s="31">
        <v>1</v>
      </c>
      <c r="M504" s="31">
        <f t="shared" si="1"/>
        <v>1</v>
      </c>
    </row>
    <row r="505" spans="1:13" ht="13">
      <c r="A505" s="33" t="str">
        <f>HYPERLINK("http://aclweb.org/anthology/N18-1016","Discourse-Aware Neural Rewards for Coherent Text Generation")</f>
        <v>Discourse-Aware Neural Rewards for Coherent Text Generation</v>
      </c>
      <c r="B505" s="31" t="s">
        <v>62</v>
      </c>
      <c r="C505" s="33" t="s">
        <v>961</v>
      </c>
      <c r="D505" s="31">
        <v>0</v>
      </c>
      <c r="E505" s="31">
        <v>0</v>
      </c>
      <c r="F505" s="31" t="s">
        <v>1037</v>
      </c>
      <c r="G505" s="31">
        <v>0</v>
      </c>
      <c r="H505" s="31">
        <v>1</v>
      </c>
      <c r="I505" s="31" t="e">
        <f t="shared" ca="1" si="23"/>
        <v>#NAME?</v>
      </c>
      <c r="L505" s="31">
        <v>0</v>
      </c>
      <c r="M505" s="31">
        <f t="shared" si="1"/>
        <v>1</v>
      </c>
    </row>
    <row r="506" spans="1:13" ht="13">
      <c r="A506" s="33" t="str">
        <f t="shared" ref="A506:A507" si="24">HYPERLINK("http://aclweb.org/anthology/N18-1017","Natural Answer Generation with Heterogeneous Memory")</f>
        <v>Natural Answer Generation with Heterogeneous Memory</v>
      </c>
      <c r="B506" s="31" t="s">
        <v>62</v>
      </c>
      <c r="C506" s="33" t="s">
        <v>1038</v>
      </c>
      <c r="D506" s="31">
        <v>0</v>
      </c>
      <c r="E506" s="31">
        <v>0</v>
      </c>
      <c r="F506" s="31" t="s">
        <v>1039</v>
      </c>
      <c r="G506" s="31">
        <v>0</v>
      </c>
      <c r="H506" s="31">
        <v>0</v>
      </c>
      <c r="I506" s="31" t="e">
        <f t="shared" ca="1" si="23"/>
        <v>#NAME?</v>
      </c>
      <c r="L506" s="31">
        <v>0</v>
      </c>
      <c r="M506" s="31">
        <f t="shared" si="1"/>
        <v>1</v>
      </c>
    </row>
    <row r="507" spans="1:13" ht="13">
      <c r="A507" s="33" t="str">
        <f t="shared" si="24"/>
        <v>Natural Answer Generation with Heterogeneous Memory</v>
      </c>
      <c r="B507" s="31" t="s">
        <v>62</v>
      </c>
      <c r="C507" s="31" t="s">
        <v>1040</v>
      </c>
      <c r="D507" s="31">
        <v>0</v>
      </c>
      <c r="E507" s="31">
        <v>0</v>
      </c>
      <c r="F507" s="31" t="s">
        <v>1041</v>
      </c>
      <c r="G507" s="31">
        <v>0</v>
      </c>
      <c r="H507" s="31">
        <v>0</v>
      </c>
      <c r="I507" s="31" t="e">
        <f t="shared" ca="1" si="23"/>
        <v>#NAME?</v>
      </c>
      <c r="L507" s="31">
        <v>0</v>
      </c>
      <c r="M507" s="31">
        <f t="shared" si="1"/>
        <v>0</v>
      </c>
    </row>
    <row r="508" spans="1:13" ht="13">
      <c r="A508" s="33" t="str">
        <f t="shared" ref="A508:A509" si="25">HYPERLINK("http://aclweb.org/anthology/D18-1207","Improving Abstraction in Text Summarization")</f>
        <v>Improving Abstraction in Text Summarization</v>
      </c>
      <c r="B508" s="31" t="s">
        <v>62</v>
      </c>
      <c r="C508" s="33" t="s">
        <v>1042</v>
      </c>
      <c r="D508" s="31">
        <v>0</v>
      </c>
      <c r="E508" s="31">
        <v>0</v>
      </c>
      <c r="F508" s="31" t="s">
        <v>902</v>
      </c>
      <c r="G508" s="31">
        <v>0</v>
      </c>
      <c r="H508" s="31">
        <v>1</v>
      </c>
      <c r="I508" s="31" t="e">
        <f t="shared" ca="1" si="23"/>
        <v>#NAME?</v>
      </c>
      <c r="K508" s="31" t="s">
        <v>1043</v>
      </c>
      <c r="L508" s="31">
        <v>1</v>
      </c>
      <c r="M508" s="31">
        <f t="shared" si="1"/>
        <v>1</v>
      </c>
    </row>
    <row r="509" spans="1:13" ht="13">
      <c r="A509" s="33" t="str">
        <f t="shared" si="25"/>
        <v>Improving Abstraction in Text Summarization</v>
      </c>
      <c r="B509" s="31" t="s">
        <v>62</v>
      </c>
      <c r="C509" s="31" t="s">
        <v>1044</v>
      </c>
      <c r="D509" s="31">
        <v>0</v>
      </c>
      <c r="E509" s="31">
        <v>0</v>
      </c>
      <c r="F509" s="31" t="s">
        <v>1045</v>
      </c>
      <c r="G509" s="31">
        <v>0</v>
      </c>
      <c r="H509" s="31">
        <v>1</v>
      </c>
      <c r="I509" s="31" t="e">
        <f t="shared" ca="1" si="23"/>
        <v>#NAME?</v>
      </c>
      <c r="L509" s="31">
        <v>1</v>
      </c>
      <c r="M509" s="31">
        <f t="shared" si="1"/>
        <v>0</v>
      </c>
    </row>
    <row r="510" spans="1:13" ht="13">
      <c r="A510" s="33" t="str">
        <f t="shared" ref="A510:A511" si="26">HYPERLINK("http://aclweb.org/anthology/D18-1349","Hierarchical Neural Networks for Sequential Sentence Classification in
Medical Scientific Abstracts")</f>
        <v>Hierarchical Neural Networks for Sequential Sentence Classification in
Medical Scientific Abstracts</v>
      </c>
      <c r="B510" s="31" t="s">
        <v>62</v>
      </c>
      <c r="C510" s="33" t="s">
        <v>1046</v>
      </c>
      <c r="D510" s="31">
        <v>0</v>
      </c>
      <c r="E510" s="31">
        <v>1</v>
      </c>
      <c r="F510" s="31" t="s">
        <v>1047</v>
      </c>
      <c r="G510" s="31">
        <v>0</v>
      </c>
      <c r="H510" s="31">
        <v>1</v>
      </c>
      <c r="I510" s="31" t="e">
        <f t="shared" ca="1" si="23"/>
        <v>#NAME?</v>
      </c>
      <c r="K510" s="31" t="s">
        <v>855</v>
      </c>
      <c r="L510" s="31">
        <v>0</v>
      </c>
      <c r="M510" s="31">
        <f t="shared" si="1"/>
        <v>1</v>
      </c>
    </row>
    <row r="511" spans="1:13" ht="13">
      <c r="A511" s="33" t="str">
        <f t="shared" si="26"/>
        <v>Hierarchical Neural Networks for Sequential Sentence Classification in
Medical Scientific Abstracts</v>
      </c>
      <c r="B511" s="31" t="s">
        <v>62</v>
      </c>
      <c r="C511" s="31" t="s">
        <v>965</v>
      </c>
      <c r="D511" s="31">
        <v>0</v>
      </c>
      <c r="E511" s="31">
        <v>1</v>
      </c>
      <c r="F511" s="31" t="s">
        <v>1048</v>
      </c>
      <c r="G511" s="31">
        <v>0</v>
      </c>
      <c r="H511" s="31">
        <v>1</v>
      </c>
      <c r="I511" s="31" t="e">
        <f t="shared" ca="1" si="23"/>
        <v>#NAME?</v>
      </c>
      <c r="K511" s="31" t="s">
        <v>855</v>
      </c>
      <c r="L511" s="31">
        <v>0</v>
      </c>
      <c r="M511" s="31">
        <f t="shared" si="1"/>
        <v>0</v>
      </c>
    </row>
    <row r="512" spans="1:13" ht="13">
      <c r="A512" s="33" t="str">
        <f t="shared" ref="A512:A517" si="27">HYPERLINK("http://aclweb.org/anthology/D18-1475","Modeling Localness for Self-Attention Networks")</f>
        <v>Modeling Localness for Self-Attention Networks</v>
      </c>
      <c r="B512" s="31" t="s">
        <v>62</v>
      </c>
      <c r="C512" s="33" t="s">
        <v>1049</v>
      </c>
      <c r="D512" s="31">
        <v>0</v>
      </c>
      <c r="E512" s="31">
        <v>0</v>
      </c>
      <c r="F512" s="31" t="s">
        <v>1050</v>
      </c>
      <c r="G512" s="31">
        <v>0</v>
      </c>
      <c r="H512" s="31">
        <v>1</v>
      </c>
      <c r="I512" s="31" t="e">
        <f t="shared" ca="1" si="23"/>
        <v>#NAME?</v>
      </c>
      <c r="L512" s="31">
        <v>0</v>
      </c>
      <c r="M512" s="31">
        <f t="shared" si="1"/>
        <v>1</v>
      </c>
    </row>
    <row r="513" spans="1:13" ht="13">
      <c r="A513" s="33" t="str">
        <f t="shared" si="27"/>
        <v>Modeling Localness for Self-Attention Networks</v>
      </c>
      <c r="B513" s="31" t="s">
        <v>62</v>
      </c>
      <c r="C513" s="31" t="s">
        <v>1051</v>
      </c>
      <c r="D513" s="31">
        <v>0</v>
      </c>
      <c r="E513" s="31">
        <v>0</v>
      </c>
      <c r="F513" s="31" t="s">
        <v>1052</v>
      </c>
      <c r="G513" s="31">
        <v>0</v>
      </c>
      <c r="H513" s="31">
        <v>1</v>
      </c>
      <c r="I513" s="31" t="e">
        <f t="shared" ca="1" si="23"/>
        <v>#NAME?</v>
      </c>
      <c r="L513" s="31">
        <v>0</v>
      </c>
      <c r="M513" s="31">
        <f t="shared" si="1"/>
        <v>0</v>
      </c>
    </row>
    <row r="514" spans="1:13" ht="13">
      <c r="A514" s="33" t="str">
        <f t="shared" si="27"/>
        <v>Modeling Localness for Self-Attention Networks</v>
      </c>
      <c r="B514" s="31" t="s">
        <v>62</v>
      </c>
      <c r="C514" s="31" t="s">
        <v>1053</v>
      </c>
      <c r="D514" s="31">
        <v>0</v>
      </c>
      <c r="E514" s="31">
        <v>0</v>
      </c>
      <c r="F514" s="31" t="s">
        <v>1054</v>
      </c>
      <c r="G514" s="31">
        <v>0</v>
      </c>
      <c r="H514" s="31">
        <v>1</v>
      </c>
      <c r="I514" s="31" t="e">
        <f t="shared" ca="1" si="23"/>
        <v>#NAME?</v>
      </c>
      <c r="L514" s="31">
        <v>0</v>
      </c>
      <c r="M514" s="31">
        <f t="shared" si="1"/>
        <v>0</v>
      </c>
    </row>
    <row r="515" spans="1:13" ht="13">
      <c r="A515" s="33" t="str">
        <f t="shared" si="27"/>
        <v>Modeling Localness for Self-Attention Networks</v>
      </c>
      <c r="B515" s="31" t="s">
        <v>62</v>
      </c>
      <c r="C515" s="31" t="s">
        <v>1055</v>
      </c>
      <c r="D515" s="31">
        <v>0</v>
      </c>
      <c r="E515" s="31">
        <v>0</v>
      </c>
      <c r="F515" s="31" t="s">
        <v>1056</v>
      </c>
      <c r="G515" s="31">
        <v>0</v>
      </c>
      <c r="H515" s="31">
        <v>1</v>
      </c>
      <c r="I515" s="31" t="e">
        <f t="shared" ca="1" si="23"/>
        <v>#NAME?</v>
      </c>
      <c r="L515" s="31">
        <v>0</v>
      </c>
      <c r="M515" s="31">
        <f t="shared" si="1"/>
        <v>0</v>
      </c>
    </row>
    <row r="516" spans="1:13" ht="13">
      <c r="A516" s="33" t="str">
        <f t="shared" si="27"/>
        <v>Modeling Localness for Self-Attention Networks</v>
      </c>
      <c r="B516" s="31" t="s">
        <v>62</v>
      </c>
      <c r="C516" s="31" t="s">
        <v>1057</v>
      </c>
      <c r="D516" s="31">
        <v>0</v>
      </c>
      <c r="E516" s="31">
        <v>0</v>
      </c>
      <c r="F516" s="31" t="s">
        <v>1058</v>
      </c>
      <c r="G516" s="31">
        <v>0</v>
      </c>
      <c r="H516" s="31">
        <v>1</v>
      </c>
      <c r="I516" s="31" t="e">
        <f t="shared" ca="1" si="23"/>
        <v>#NAME?</v>
      </c>
      <c r="L516" s="31">
        <v>0</v>
      </c>
      <c r="M516" s="31">
        <f t="shared" si="1"/>
        <v>0</v>
      </c>
    </row>
    <row r="517" spans="1:13" ht="13">
      <c r="A517" s="33" t="str">
        <f t="shared" si="27"/>
        <v>Modeling Localness for Self-Attention Networks</v>
      </c>
      <c r="B517" s="31" t="s">
        <v>62</v>
      </c>
      <c r="C517" s="31" t="s">
        <v>1059</v>
      </c>
      <c r="D517" s="31">
        <v>0</v>
      </c>
      <c r="E517" s="31">
        <v>0</v>
      </c>
      <c r="F517" s="31" t="s">
        <v>1060</v>
      </c>
      <c r="G517" s="31">
        <v>0</v>
      </c>
      <c r="H517" s="31">
        <v>1</v>
      </c>
      <c r="I517" s="31" t="e">
        <f t="shared" ca="1" si="23"/>
        <v>#NAME?</v>
      </c>
      <c r="L517" s="31">
        <v>0</v>
      </c>
      <c r="M517" s="31">
        <f t="shared" si="1"/>
        <v>0</v>
      </c>
    </row>
    <row r="518" spans="1:13" ht="13">
      <c r="A518" s="31" t="s">
        <v>1061</v>
      </c>
      <c r="B518" s="31" t="s">
        <v>28</v>
      </c>
      <c r="C518" s="33" t="s">
        <v>1062</v>
      </c>
      <c r="D518" s="31">
        <v>0</v>
      </c>
      <c r="E518" s="31">
        <v>1</v>
      </c>
      <c r="F518" s="31" t="s">
        <v>567</v>
      </c>
      <c r="G518" s="31">
        <v>0</v>
      </c>
      <c r="H518" s="31">
        <v>1</v>
      </c>
      <c r="I518" s="31" t="e">
        <f t="shared" ca="1" si="23"/>
        <v>#NAME?</v>
      </c>
      <c r="L518" s="31">
        <v>0</v>
      </c>
      <c r="M518" s="31">
        <f t="shared" si="1"/>
        <v>1</v>
      </c>
    </row>
    <row r="519" spans="1:13" ht="13">
      <c r="A519" s="31" t="s">
        <v>1063</v>
      </c>
      <c r="B519" s="31" t="s">
        <v>28</v>
      </c>
      <c r="C519" s="33" t="s">
        <v>1064</v>
      </c>
      <c r="D519" s="31">
        <v>0</v>
      </c>
      <c r="E519" s="31">
        <v>0</v>
      </c>
      <c r="F519" s="31" t="s">
        <v>686</v>
      </c>
      <c r="G519" s="31">
        <v>0</v>
      </c>
      <c r="H519" s="31">
        <v>1</v>
      </c>
      <c r="L519" s="31">
        <v>1</v>
      </c>
      <c r="M519" s="31">
        <f t="shared" si="1"/>
        <v>1</v>
      </c>
    </row>
    <row r="520" spans="1:13" ht="13">
      <c r="A520" s="31" t="s">
        <v>1065</v>
      </c>
      <c r="B520" s="31" t="s">
        <v>28</v>
      </c>
      <c r="C520" s="33" t="s">
        <v>1066</v>
      </c>
      <c r="D520" s="31">
        <v>0</v>
      </c>
      <c r="E520" s="31">
        <v>1</v>
      </c>
      <c r="F520" s="31" t="s">
        <v>1067</v>
      </c>
      <c r="G520" s="31">
        <v>0</v>
      </c>
      <c r="H520" s="31">
        <v>1</v>
      </c>
      <c r="I520" s="31" t="e">
        <f t="shared" ref="I520:I625" ca="1" si="28">IF(OR(ISBLANK(G520), ISBLANK(H520)), "", IF(AND(EQ(G520, 1), EQ(H520, 1)), 1, 0))</f>
        <v>#NAME?</v>
      </c>
      <c r="J520" s="33" t="s">
        <v>1068</v>
      </c>
      <c r="L520" s="31">
        <v>1</v>
      </c>
      <c r="M520" s="31">
        <f t="shared" si="1"/>
        <v>1</v>
      </c>
    </row>
    <row r="521" spans="1:13" ht="13">
      <c r="A521" s="31" t="s">
        <v>1069</v>
      </c>
      <c r="B521" s="31" t="s">
        <v>28</v>
      </c>
      <c r="C521" s="33" t="s">
        <v>1070</v>
      </c>
      <c r="D521" s="31">
        <v>0</v>
      </c>
      <c r="E521" s="31">
        <v>1</v>
      </c>
      <c r="F521" s="31" t="s">
        <v>1071</v>
      </c>
      <c r="G521" s="31">
        <v>0</v>
      </c>
      <c r="H521" s="31">
        <v>1</v>
      </c>
      <c r="I521" s="31" t="e">
        <f t="shared" ca="1" si="28"/>
        <v>#NAME?</v>
      </c>
      <c r="L521" s="31">
        <v>0</v>
      </c>
      <c r="M521" s="31">
        <f t="shared" si="1"/>
        <v>1</v>
      </c>
    </row>
    <row r="522" spans="1:13" ht="13">
      <c r="A522" s="31" t="s">
        <v>1072</v>
      </c>
      <c r="B522" s="31" t="s">
        <v>28</v>
      </c>
      <c r="C522" s="33" t="s">
        <v>1073</v>
      </c>
      <c r="D522" s="31">
        <v>0</v>
      </c>
      <c r="E522" s="31">
        <v>0</v>
      </c>
      <c r="F522" s="31" t="s">
        <v>1074</v>
      </c>
      <c r="G522" s="31">
        <v>0</v>
      </c>
      <c r="H522" s="31">
        <v>1</v>
      </c>
      <c r="I522" s="31" t="e">
        <f t="shared" ca="1" si="28"/>
        <v>#NAME?</v>
      </c>
      <c r="K522" s="31" t="s">
        <v>1075</v>
      </c>
      <c r="L522" s="31">
        <v>0</v>
      </c>
      <c r="M522" s="31">
        <f t="shared" si="1"/>
        <v>1</v>
      </c>
    </row>
    <row r="523" spans="1:13" ht="13">
      <c r="A523" s="31" t="s">
        <v>1076</v>
      </c>
      <c r="B523" s="31" t="s">
        <v>28</v>
      </c>
      <c r="C523" s="33" t="s">
        <v>1077</v>
      </c>
      <c r="D523" s="31">
        <v>0</v>
      </c>
      <c r="E523" s="31">
        <v>1</v>
      </c>
      <c r="F523" s="31" t="s">
        <v>345</v>
      </c>
      <c r="G523" s="31">
        <v>0</v>
      </c>
      <c r="H523" s="31">
        <v>1</v>
      </c>
      <c r="I523" s="31" t="e">
        <f t="shared" ca="1" si="28"/>
        <v>#NAME?</v>
      </c>
      <c r="L523" s="31">
        <v>0</v>
      </c>
      <c r="M523" s="31">
        <f t="shared" si="1"/>
        <v>1</v>
      </c>
    </row>
    <row r="524" spans="1:13" ht="13">
      <c r="A524" s="31" t="s">
        <v>1076</v>
      </c>
      <c r="B524" s="31" t="s">
        <v>28</v>
      </c>
      <c r="C524" s="31" t="s">
        <v>1078</v>
      </c>
      <c r="D524" s="31">
        <v>0</v>
      </c>
      <c r="E524" s="31">
        <v>1</v>
      </c>
      <c r="F524" s="31" t="s">
        <v>686</v>
      </c>
      <c r="G524" s="31">
        <v>0</v>
      </c>
      <c r="H524" s="31">
        <v>1</v>
      </c>
      <c r="I524" s="31" t="e">
        <f t="shared" ca="1" si="28"/>
        <v>#NAME?</v>
      </c>
      <c r="L524" s="31">
        <v>0</v>
      </c>
      <c r="M524" s="31">
        <f t="shared" si="1"/>
        <v>0</v>
      </c>
    </row>
    <row r="525" spans="1:13" ht="13">
      <c r="A525" s="31" t="s">
        <v>1076</v>
      </c>
      <c r="B525" s="31" t="s">
        <v>28</v>
      </c>
      <c r="C525" s="31" t="s">
        <v>1079</v>
      </c>
      <c r="D525" s="31">
        <v>0</v>
      </c>
      <c r="E525" s="31">
        <v>1</v>
      </c>
      <c r="F525" s="31" t="s">
        <v>567</v>
      </c>
      <c r="G525" s="31">
        <v>0</v>
      </c>
      <c r="H525" s="31">
        <v>1</v>
      </c>
      <c r="I525" s="31" t="e">
        <f t="shared" ca="1" si="28"/>
        <v>#NAME?</v>
      </c>
      <c r="L525" s="31">
        <v>0</v>
      </c>
      <c r="M525" s="31">
        <f t="shared" si="1"/>
        <v>0</v>
      </c>
    </row>
    <row r="526" spans="1:13" ht="13">
      <c r="A526" s="31" t="s">
        <v>1080</v>
      </c>
      <c r="B526" s="31" t="s">
        <v>28</v>
      </c>
      <c r="C526" s="33" t="s">
        <v>1081</v>
      </c>
      <c r="D526" s="31">
        <v>0</v>
      </c>
      <c r="E526" s="31">
        <v>0</v>
      </c>
      <c r="F526" s="31" t="s">
        <v>1082</v>
      </c>
      <c r="G526" s="31">
        <v>1</v>
      </c>
      <c r="H526" s="31">
        <v>0</v>
      </c>
      <c r="I526" s="31" t="e">
        <f t="shared" ca="1" si="28"/>
        <v>#NAME?</v>
      </c>
      <c r="K526" s="31" t="s">
        <v>855</v>
      </c>
      <c r="L526" s="31">
        <v>0</v>
      </c>
      <c r="M526" s="31">
        <f t="shared" si="1"/>
        <v>1</v>
      </c>
    </row>
    <row r="527" spans="1:13" ht="13">
      <c r="A527" s="31" t="s">
        <v>1083</v>
      </c>
      <c r="B527" s="31" t="s">
        <v>28</v>
      </c>
      <c r="C527" s="33" t="s">
        <v>1084</v>
      </c>
      <c r="D527" s="31">
        <v>0</v>
      </c>
      <c r="E527" s="31">
        <v>0</v>
      </c>
      <c r="F527" s="31" t="s">
        <v>1085</v>
      </c>
      <c r="G527" s="31">
        <v>0</v>
      </c>
      <c r="H527" s="31">
        <v>0</v>
      </c>
      <c r="I527" s="31" t="e">
        <f t="shared" ca="1" si="28"/>
        <v>#NAME?</v>
      </c>
      <c r="L527" s="31">
        <v>1</v>
      </c>
      <c r="M527" s="31">
        <f t="shared" si="1"/>
        <v>1</v>
      </c>
    </row>
    <row r="528" spans="1:13" ht="13">
      <c r="A528" s="33" t="str">
        <f>HYPERLINK("http://aclweb.org/anthology/P18-2066","Document Embedding Enhanced Event Detection with Hierarchical and Supervised Attention")</f>
        <v>Document Embedding Enhanced Event Detection with Hierarchical and Supervised Attention</v>
      </c>
      <c r="B528" s="31" t="s">
        <v>62</v>
      </c>
      <c r="C528" s="33" t="s">
        <v>1086</v>
      </c>
      <c r="D528" s="31">
        <v>0</v>
      </c>
      <c r="E528" s="31">
        <v>0</v>
      </c>
      <c r="F528" s="31" t="s">
        <v>1087</v>
      </c>
      <c r="G528" s="31">
        <v>0</v>
      </c>
      <c r="H528" s="31">
        <v>1</v>
      </c>
      <c r="I528" s="31" t="e">
        <f t="shared" ca="1" si="28"/>
        <v>#NAME?</v>
      </c>
      <c r="L528" s="31">
        <v>0</v>
      </c>
      <c r="M528" s="31">
        <f t="shared" si="1"/>
        <v>1</v>
      </c>
    </row>
    <row r="529" spans="1:13" ht="13">
      <c r="A529" s="33" t="str">
        <f t="shared" ref="A529:A532" si="29">HYPERLINK("http://aclweb.org/anthology/P18-1144","Chinese NER Using Lattice LSTM")</f>
        <v>Chinese NER Using Lattice LSTM</v>
      </c>
      <c r="B529" s="31" t="s">
        <v>62</v>
      </c>
      <c r="C529" s="33" t="s">
        <v>1088</v>
      </c>
      <c r="D529" s="31">
        <v>0</v>
      </c>
      <c r="E529" s="31">
        <v>1</v>
      </c>
      <c r="F529" s="31" t="s">
        <v>538</v>
      </c>
      <c r="G529" s="31">
        <v>0</v>
      </c>
      <c r="H529" s="31">
        <v>1</v>
      </c>
      <c r="I529" s="31" t="e">
        <f t="shared" ca="1" si="28"/>
        <v>#NAME?</v>
      </c>
      <c r="L529" s="31">
        <v>0</v>
      </c>
      <c r="M529" s="31">
        <f t="shared" si="1"/>
        <v>1</v>
      </c>
    </row>
    <row r="530" spans="1:13" ht="13">
      <c r="A530" s="33" t="str">
        <f t="shared" si="29"/>
        <v>Chinese NER Using Lattice LSTM</v>
      </c>
      <c r="B530" s="31" t="s">
        <v>62</v>
      </c>
      <c r="C530" s="31" t="s">
        <v>1089</v>
      </c>
      <c r="D530" s="31">
        <v>0</v>
      </c>
      <c r="E530" s="31">
        <v>1</v>
      </c>
      <c r="F530" s="31" t="s">
        <v>1090</v>
      </c>
      <c r="G530" s="31">
        <v>0</v>
      </c>
      <c r="H530" s="31">
        <v>1</v>
      </c>
      <c r="I530" s="31" t="e">
        <f t="shared" ca="1" si="28"/>
        <v>#NAME?</v>
      </c>
      <c r="L530" s="31">
        <v>0</v>
      </c>
      <c r="M530" s="31">
        <f t="shared" si="1"/>
        <v>0</v>
      </c>
    </row>
    <row r="531" spans="1:13" ht="13">
      <c r="A531" s="33" t="str">
        <f t="shared" si="29"/>
        <v>Chinese NER Using Lattice LSTM</v>
      </c>
      <c r="B531" s="31" t="s">
        <v>62</v>
      </c>
      <c r="C531" s="31" t="s">
        <v>1091</v>
      </c>
      <c r="D531" s="31">
        <v>0</v>
      </c>
      <c r="E531" s="31">
        <v>1</v>
      </c>
      <c r="F531" s="31" t="s">
        <v>1092</v>
      </c>
      <c r="G531" s="31">
        <v>0</v>
      </c>
      <c r="H531" s="31">
        <v>1</v>
      </c>
      <c r="I531" s="31" t="e">
        <f t="shared" ca="1" si="28"/>
        <v>#NAME?</v>
      </c>
      <c r="L531" s="31">
        <v>0</v>
      </c>
      <c r="M531" s="31">
        <f t="shared" si="1"/>
        <v>0</v>
      </c>
    </row>
    <row r="532" spans="1:13" ht="13">
      <c r="A532" s="33" t="str">
        <f t="shared" si="29"/>
        <v>Chinese NER Using Lattice LSTM</v>
      </c>
      <c r="B532" s="31" t="s">
        <v>62</v>
      </c>
      <c r="C532" s="31" t="s">
        <v>1093</v>
      </c>
      <c r="D532" s="31">
        <v>0</v>
      </c>
      <c r="E532" s="31">
        <v>1</v>
      </c>
      <c r="F532" s="31" t="s">
        <v>1094</v>
      </c>
      <c r="G532" s="31">
        <v>0</v>
      </c>
      <c r="H532" s="31">
        <v>1</v>
      </c>
      <c r="I532" s="31" t="e">
        <f t="shared" ca="1" si="28"/>
        <v>#NAME?</v>
      </c>
      <c r="L532" s="31">
        <v>0</v>
      </c>
      <c r="M532" s="31">
        <f t="shared" si="1"/>
        <v>0</v>
      </c>
    </row>
    <row r="533" spans="1:13" ht="13">
      <c r="A533" s="33" t="str">
        <f t="shared" ref="A533:A534" si="30">HYPERLINK("http://aclweb.org/anthology/P18-1254","Finding Syntax in Human Encephalography with Beam Search")</f>
        <v>Finding Syntax in Human Encephalography with Beam Search</v>
      </c>
      <c r="B533" s="31" t="s">
        <v>62</v>
      </c>
      <c r="C533" s="33" t="s">
        <v>1095</v>
      </c>
      <c r="D533" s="31">
        <v>0</v>
      </c>
      <c r="E533" s="31">
        <v>0</v>
      </c>
      <c r="F533" s="31" t="s">
        <v>1096</v>
      </c>
      <c r="G533" s="31">
        <v>0</v>
      </c>
      <c r="H533" s="31">
        <v>0</v>
      </c>
      <c r="I533" s="31" t="e">
        <f t="shared" ca="1" si="28"/>
        <v>#NAME?</v>
      </c>
      <c r="K533" s="31" t="s">
        <v>1097</v>
      </c>
      <c r="L533" s="31">
        <v>1</v>
      </c>
      <c r="M533" s="31">
        <f t="shared" si="1"/>
        <v>1</v>
      </c>
    </row>
    <row r="534" spans="1:13" ht="13">
      <c r="A534" s="33" t="str">
        <f t="shared" si="30"/>
        <v>Finding Syntax in Human Encephalography with Beam Search</v>
      </c>
      <c r="B534" s="31" t="s">
        <v>62</v>
      </c>
      <c r="C534" s="31" t="s">
        <v>1098</v>
      </c>
      <c r="D534" s="31">
        <v>0</v>
      </c>
      <c r="E534" s="31">
        <v>0</v>
      </c>
      <c r="F534" s="31" t="s">
        <v>1099</v>
      </c>
      <c r="G534" s="31">
        <v>0</v>
      </c>
      <c r="H534" s="31">
        <v>1</v>
      </c>
      <c r="I534" s="31" t="e">
        <f t="shared" ca="1" si="28"/>
        <v>#NAME?</v>
      </c>
      <c r="L534" s="31">
        <v>1</v>
      </c>
      <c r="M534" s="31">
        <f t="shared" si="1"/>
        <v>0</v>
      </c>
    </row>
    <row r="535" spans="1:13" ht="13">
      <c r="A535" s="33" t="str">
        <f t="shared" ref="A535:A537" si="31">HYPERLINK("http://aclweb.org/anthology/N18-1018","Query and Output: Generating Words by Querying Distributed Word
Representations for Paraphrase Generation")</f>
        <v>Query and Output: Generating Words by Querying Distributed Word
Representations for Paraphrase Generation</v>
      </c>
      <c r="B535" s="31" t="s">
        <v>62</v>
      </c>
      <c r="C535" s="33" t="s">
        <v>1040</v>
      </c>
      <c r="D535" s="31">
        <v>0</v>
      </c>
      <c r="E535" s="31">
        <v>1</v>
      </c>
      <c r="F535" s="31" t="s">
        <v>1100</v>
      </c>
      <c r="G535" s="31">
        <v>0</v>
      </c>
      <c r="H535" s="31">
        <v>1</v>
      </c>
      <c r="I535" s="31" t="e">
        <f t="shared" ca="1" si="28"/>
        <v>#NAME?</v>
      </c>
      <c r="L535" s="31">
        <v>0</v>
      </c>
      <c r="M535" s="31">
        <f t="shared" si="1"/>
        <v>1</v>
      </c>
    </row>
    <row r="536" spans="1:13" ht="13">
      <c r="A536" s="33" t="str">
        <f t="shared" si="31"/>
        <v>Query and Output: Generating Words by Querying Distributed Word
Representations for Paraphrase Generation</v>
      </c>
      <c r="B536" s="31" t="s">
        <v>62</v>
      </c>
      <c r="C536" s="31" t="s">
        <v>1101</v>
      </c>
      <c r="D536" s="31">
        <v>0</v>
      </c>
      <c r="E536" s="31">
        <v>1</v>
      </c>
      <c r="F536" s="31" t="s">
        <v>1102</v>
      </c>
      <c r="G536" s="31">
        <v>0</v>
      </c>
      <c r="H536" s="31">
        <v>1</v>
      </c>
      <c r="I536" s="31" t="e">
        <f t="shared" ca="1" si="28"/>
        <v>#NAME?</v>
      </c>
      <c r="L536" s="31">
        <v>0</v>
      </c>
      <c r="M536" s="31">
        <f t="shared" si="1"/>
        <v>0</v>
      </c>
    </row>
    <row r="537" spans="1:13" ht="13">
      <c r="A537" s="33" t="str">
        <f t="shared" si="31"/>
        <v>Query and Output: Generating Words by Querying Distributed Word
Representations for Paraphrase Generation</v>
      </c>
      <c r="B537" s="31" t="s">
        <v>62</v>
      </c>
      <c r="C537" s="31" t="s">
        <v>1103</v>
      </c>
      <c r="D537" s="31">
        <v>0</v>
      </c>
      <c r="E537" s="31">
        <v>1</v>
      </c>
      <c r="F537" s="31" t="s">
        <v>1104</v>
      </c>
      <c r="G537" s="31">
        <v>0</v>
      </c>
      <c r="H537" s="31">
        <v>1</v>
      </c>
      <c r="I537" s="31" t="e">
        <f t="shared" ca="1" si="28"/>
        <v>#NAME?</v>
      </c>
      <c r="L537" s="31">
        <v>0</v>
      </c>
      <c r="M537" s="31">
        <f t="shared" si="1"/>
        <v>0</v>
      </c>
    </row>
    <row r="538" spans="1:13" ht="13">
      <c r="A538" s="33" t="str">
        <f t="shared" ref="A538:A541" si="32">HYPERLINK("http://aclweb.org/anthology/N18-1019","Simplification Using Paraphrases
and Context-based Lexical Substitution")</f>
        <v>Simplification Using Paraphrases
and Context-based Lexical Substitution</v>
      </c>
      <c r="B538" s="31" t="s">
        <v>62</v>
      </c>
      <c r="C538" s="33" t="s">
        <v>1101</v>
      </c>
      <c r="D538" s="31">
        <v>0</v>
      </c>
      <c r="E538" s="31">
        <v>1</v>
      </c>
      <c r="F538" s="31" t="s">
        <v>1105</v>
      </c>
      <c r="G538" s="31">
        <v>0</v>
      </c>
      <c r="H538" s="31">
        <v>1</v>
      </c>
      <c r="I538" s="31" t="e">
        <f t="shared" ca="1" si="28"/>
        <v>#NAME?</v>
      </c>
      <c r="K538" s="31" t="s">
        <v>1106</v>
      </c>
      <c r="L538" s="31">
        <v>0</v>
      </c>
      <c r="M538" s="31">
        <f t="shared" si="1"/>
        <v>1</v>
      </c>
    </row>
    <row r="539" spans="1:13" ht="13">
      <c r="A539" s="33" t="str">
        <f t="shared" si="32"/>
        <v>Simplification Using Paraphrases
and Context-based Lexical Substitution</v>
      </c>
      <c r="B539" s="31" t="s">
        <v>62</v>
      </c>
      <c r="C539" s="31" t="s">
        <v>1103</v>
      </c>
      <c r="D539" s="31">
        <v>0</v>
      </c>
      <c r="E539" s="31">
        <v>1</v>
      </c>
      <c r="F539" s="31" t="s">
        <v>1107</v>
      </c>
      <c r="G539" s="31">
        <v>0</v>
      </c>
      <c r="H539" s="31">
        <v>1</v>
      </c>
      <c r="I539" s="31" t="e">
        <f t="shared" ca="1" si="28"/>
        <v>#NAME?</v>
      </c>
      <c r="L539" s="31">
        <v>0</v>
      </c>
      <c r="M539" s="31">
        <f t="shared" si="1"/>
        <v>0</v>
      </c>
    </row>
    <row r="540" spans="1:13" ht="13">
      <c r="A540" s="33" t="str">
        <f t="shared" si="32"/>
        <v>Simplification Using Paraphrases
and Context-based Lexical Substitution</v>
      </c>
      <c r="B540" s="31" t="s">
        <v>62</v>
      </c>
      <c r="C540" s="31" t="s">
        <v>1108</v>
      </c>
      <c r="D540" s="31">
        <v>0</v>
      </c>
      <c r="E540" s="31">
        <v>1</v>
      </c>
      <c r="F540" s="31" t="s">
        <v>1109</v>
      </c>
      <c r="G540" s="31">
        <v>0</v>
      </c>
      <c r="H540" s="31">
        <v>1</v>
      </c>
      <c r="I540" s="31" t="e">
        <f t="shared" ca="1" si="28"/>
        <v>#NAME?</v>
      </c>
      <c r="L540" s="31">
        <v>0</v>
      </c>
      <c r="M540" s="31">
        <f t="shared" si="1"/>
        <v>0</v>
      </c>
    </row>
    <row r="541" spans="1:13" ht="13">
      <c r="A541" s="33" t="str">
        <f t="shared" si="32"/>
        <v>Simplification Using Paraphrases
and Context-based Lexical Substitution</v>
      </c>
      <c r="B541" s="31" t="s">
        <v>62</v>
      </c>
      <c r="C541" s="31" t="s">
        <v>1110</v>
      </c>
      <c r="D541" s="31">
        <v>0</v>
      </c>
      <c r="E541" s="31">
        <v>1</v>
      </c>
      <c r="F541" s="31" t="s">
        <v>1111</v>
      </c>
      <c r="G541" s="31">
        <v>0</v>
      </c>
      <c r="H541" s="31">
        <v>1</v>
      </c>
      <c r="I541" s="31" t="e">
        <f t="shared" ca="1" si="28"/>
        <v>#NAME?</v>
      </c>
      <c r="L541" s="31">
        <v>0</v>
      </c>
      <c r="M541" s="31">
        <f t="shared" si="1"/>
        <v>0</v>
      </c>
    </row>
    <row r="542" spans="1:13" ht="13">
      <c r="A542" s="33" t="str">
        <f t="shared" ref="A542:A543" si="33">HYPERLINK("http://aclweb.org/anthology/N18-1020","Zero-Shot Question Generation from Knowledge Graphs for Unseen
Predicates and Entity Types")</f>
        <v>Zero-Shot Question Generation from Knowledge Graphs for Unseen
Predicates and Entity Types</v>
      </c>
      <c r="B542" s="31" t="s">
        <v>62</v>
      </c>
      <c r="C542" s="33" t="s">
        <v>1103</v>
      </c>
      <c r="D542" s="31">
        <v>0</v>
      </c>
      <c r="E542" s="31">
        <v>1</v>
      </c>
      <c r="F542" s="31" t="s">
        <v>1112</v>
      </c>
      <c r="G542" s="31">
        <v>0</v>
      </c>
      <c r="H542" s="31">
        <v>1</v>
      </c>
      <c r="I542" s="31" t="e">
        <f t="shared" ca="1" si="28"/>
        <v>#NAME?</v>
      </c>
      <c r="L542" s="31">
        <v>1</v>
      </c>
      <c r="M542" s="31">
        <f t="shared" si="1"/>
        <v>1</v>
      </c>
    </row>
    <row r="543" spans="1:13" ht="13">
      <c r="A543" s="33" t="str">
        <f t="shared" si="33"/>
        <v>Zero-Shot Question Generation from Knowledge Graphs for Unseen
Predicates and Entity Types</v>
      </c>
      <c r="B543" s="31" t="s">
        <v>62</v>
      </c>
      <c r="C543" s="31" t="s">
        <v>1108</v>
      </c>
      <c r="D543" s="31">
        <v>0</v>
      </c>
      <c r="E543" s="31">
        <v>1</v>
      </c>
      <c r="F543" s="31" t="s">
        <v>1113</v>
      </c>
      <c r="G543" s="31">
        <v>0</v>
      </c>
      <c r="H543" s="31">
        <v>1</v>
      </c>
      <c r="I543" s="31" t="e">
        <f t="shared" ca="1" si="28"/>
        <v>#NAME?</v>
      </c>
      <c r="L543" s="31">
        <v>1</v>
      </c>
      <c r="M543" s="31">
        <f t="shared" si="1"/>
        <v>0</v>
      </c>
    </row>
    <row r="544" spans="1:13" ht="13">
      <c r="A544" s="34" t="s">
        <v>1114</v>
      </c>
      <c r="B544" s="31" t="s">
        <v>28</v>
      </c>
      <c r="C544" s="33" t="s">
        <v>1115</v>
      </c>
      <c r="D544" s="31">
        <v>0</v>
      </c>
      <c r="E544" s="31">
        <v>0</v>
      </c>
      <c r="F544" s="31" t="s">
        <v>1116</v>
      </c>
      <c r="G544" s="31">
        <v>0</v>
      </c>
      <c r="H544" s="31">
        <v>1</v>
      </c>
      <c r="I544" s="31" t="e">
        <f t="shared" ca="1" si="28"/>
        <v>#NAME?</v>
      </c>
      <c r="K544" s="31" t="s">
        <v>1117</v>
      </c>
      <c r="L544" s="31">
        <v>1</v>
      </c>
      <c r="M544" s="31">
        <f t="shared" si="1"/>
        <v>1</v>
      </c>
    </row>
    <row r="545" spans="1:13" ht="13">
      <c r="A545" s="34" t="s">
        <v>1114</v>
      </c>
      <c r="B545" s="31" t="s">
        <v>28</v>
      </c>
      <c r="C545" s="33" t="s">
        <v>1115</v>
      </c>
      <c r="D545" s="31">
        <v>0</v>
      </c>
      <c r="E545" s="31">
        <v>0</v>
      </c>
      <c r="F545" s="31" t="s">
        <v>1118</v>
      </c>
      <c r="G545" s="31">
        <v>0</v>
      </c>
      <c r="H545" s="31">
        <v>1</v>
      </c>
      <c r="I545" s="31" t="e">
        <f t="shared" ca="1" si="28"/>
        <v>#NAME?</v>
      </c>
      <c r="K545" s="31" t="s">
        <v>1117</v>
      </c>
      <c r="L545" s="31">
        <v>1</v>
      </c>
      <c r="M545" s="31">
        <f t="shared" si="1"/>
        <v>0</v>
      </c>
    </row>
    <row r="546" spans="1:13" ht="13">
      <c r="A546" s="34" t="s">
        <v>1114</v>
      </c>
      <c r="B546" s="31" t="s">
        <v>28</v>
      </c>
      <c r="C546" s="33" t="s">
        <v>1115</v>
      </c>
      <c r="D546" s="31">
        <v>0</v>
      </c>
      <c r="E546" s="31">
        <v>0</v>
      </c>
      <c r="F546" s="31" t="s">
        <v>1119</v>
      </c>
      <c r="G546" s="31">
        <v>0</v>
      </c>
      <c r="H546" s="31">
        <v>1</v>
      </c>
      <c r="I546" s="31" t="e">
        <f t="shared" ca="1" si="28"/>
        <v>#NAME?</v>
      </c>
      <c r="L546" s="31">
        <v>1</v>
      </c>
      <c r="M546" s="31">
        <f t="shared" si="1"/>
        <v>0</v>
      </c>
    </row>
    <row r="547" spans="1:13" ht="13">
      <c r="A547" s="34" t="s">
        <v>1120</v>
      </c>
      <c r="B547" s="31" t="s">
        <v>28</v>
      </c>
      <c r="C547" s="33" t="s">
        <v>1121</v>
      </c>
      <c r="D547" s="31">
        <v>0</v>
      </c>
      <c r="E547" s="31">
        <v>0</v>
      </c>
      <c r="F547" s="31" t="s">
        <v>1122</v>
      </c>
      <c r="G547" s="31">
        <v>0</v>
      </c>
      <c r="H547" s="31">
        <v>0</v>
      </c>
      <c r="I547" s="31" t="e">
        <f t="shared" ca="1" si="28"/>
        <v>#NAME?</v>
      </c>
      <c r="L547" s="31">
        <v>1</v>
      </c>
      <c r="M547" s="31">
        <f t="shared" si="1"/>
        <v>1</v>
      </c>
    </row>
    <row r="548" spans="1:13" ht="13">
      <c r="A548" s="34" t="s">
        <v>1120</v>
      </c>
      <c r="B548" s="31" t="s">
        <v>28</v>
      </c>
      <c r="C548" s="33" t="s">
        <v>1121</v>
      </c>
      <c r="D548" s="31">
        <v>0</v>
      </c>
      <c r="E548" s="31">
        <v>0</v>
      </c>
      <c r="F548" s="31" t="s">
        <v>1123</v>
      </c>
      <c r="G548" s="31">
        <v>0</v>
      </c>
      <c r="H548" s="31">
        <v>1</v>
      </c>
      <c r="I548" s="31" t="e">
        <f t="shared" ca="1" si="28"/>
        <v>#NAME?</v>
      </c>
      <c r="L548" s="31">
        <v>1</v>
      </c>
      <c r="M548" s="31">
        <f t="shared" si="1"/>
        <v>0</v>
      </c>
    </row>
    <row r="549" spans="1:13" ht="13">
      <c r="A549" s="34" t="s">
        <v>1124</v>
      </c>
      <c r="B549" s="31" t="s">
        <v>28</v>
      </c>
      <c r="C549" s="33" t="s">
        <v>1125</v>
      </c>
      <c r="D549" s="31">
        <v>0</v>
      </c>
      <c r="E549" s="31">
        <v>0</v>
      </c>
      <c r="F549" s="31" t="s">
        <v>1126</v>
      </c>
      <c r="G549" s="31">
        <v>0</v>
      </c>
      <c r="H549" s="31">
        <v>1</v>
      </c>
      <c r="I549" s="31" t="e">
        <f t="shared" ca="1" si="28"/>
        <v>#NAME?</v>
      </c>
      <c r="K549" s="31" t="s">
        <v>1127</v>
      </c>
      <c r="L549" s="31">
        <v>0</v>
      </c>
      <c r="M549" s="31">
        <f t="shared" si="1"/>
        <v>1</v>
      </c>
    </row>
    <row r="550" spans="1:13" ht="13">
      <c r="A550" s="34" t="s">
        <v>1124</v>
      </c>
      <c r="B550" s="31" t="s">
        <v>28</v>
      </c>
      <c r="C550" s="33" t="s">
        <v>1125</v>
      </c>
      <c r="D550" s="31">
        <v>0</v>
      </c>
      <c r="E550" s="31">
        <v>0</v>
      </c>
      <c r="F550" s="31" t="s">
        <v>1128</v>
      </c>
      <c r="G550" s="31">
        <v>0</v>
      </c>
      <c r="H550" s="31">
        <v>1</v>
      </c>
      <c r="I550" s="31" t="e">
        <f t="shared" ca="1" si="28"/>
        <v>#NAME?</v>
      </c>
      <c r="L550" s="31">
        <v>0</v>
      </c>
      <c r="M550" s="31">
        <f t="shared" si="1"/>
        <v>0</v>
      </c>
    </row>
    <row r="551" spans="1:13" ht="13">
      <c r="A551" s="34" t="s">
        <v>1124</v>
      </c>
      <c r="B551" s="31" t="s">
        <v>28</v>
      </c>
      <c r="C551" s="33" t="s">
        <v>1125</v>
      </c>
      <c r="D551" s="31">
        <v>0</v>
      </c>
      <c r="E551" s="31">
        <v>0</v>
      </c>
      <c r="F551" s="31" t="s">
        <v>1130</v>
      </c>
      <c r="G551" s="31">
        <v>0</v>
      </c>
      <c r="H551" s="31">
        <v>1</v>
      </c>
      <c r="I551" s="31" t="e">
        <f t="shared" ca="1" si="28"/>
        <v>#NAME?</v>
      </c>
      <c r="L551" s="31">
        <v>0</v>
      </c>
      <c r="M551" s="31">
        <f t="shared" si="1"/>
        <v>0</v>
      </c>
    </row>
    <row r="552" spans="1:13" ht="13">
      <c r="A552" s="34" t="s">
        <v>1131</v>
      </c>
      <c r="B552" s="31" t="s">
        <v>28</v>
      </c>
      <c r="C552" s="33" t="s">
        <v>1133</v>
      </c>
      <c r="D552" s="31">
        <v>0</v>
      </c>
      <c r="E552" s="31">
        <v>1</v>
      </c>
      <c r="F552" s="31" t="s">
        <v>1135</v>
      </c>
      <c r="G552" s="31">
        <v>0</v>
      </c>
      <c r="H552" s="31">
        <v>1</v>
      </c>
      <c r="I552" s="31" t="e">
        <f t="shared" ca="1" si="28"/>
        <v>#NAME?</v>
      </c>
      <c r="L552" s="31" t="s">
        <v>1136</v>
      </c>
      <c r="M552" s="31">
        <f t="shared" si="1"/>
        <v>1</v>
      </c>
    </row>
    <row r="553" spans="1:13" ht="13">
      <c r="A553" s="34" t="s">
        <v>1131</v>
      </c>
      <c r="B553" s="31" t="s">
        <v>28</v>
      </c>
      <c r="C553" s="33" t="s">
        <v>1133</v>
      </c>
      <c r="D553" s="31">
        <v>0</v>
      </c>
      <c r="E553" s="31">
        <v>1</v>
      </c>
      <c r="F553" s="31" t="s">
        <v>1138</v>
      </c>
      <c r="G553" s="31">
        <v>0</v>
      </c>
      <c r="H553" s="31">
        <v>1</v>
      </c>
      <c r="I553" s="31" t="e">
        <f t="shared" ca="1" si="28"/>
        <v>#NAME?</v>
      </c>
      <c r="L553" s="31" t="s">
        <v>1136</v>
      </c>
      <c r="M553" s="31">
        <f t="shared" si="1"/>
        <v>0</v>
      </c>
    </row>
    <row r="554" spans="1:13" ht="13">
      <c r="A554" s="34" t="s">
        <v>1140</v>
      </c>
      <c r="B554" s="31" t="s">
        <v>28</v>
      </c>
      <c r="C554" s="33" t="s">
        <v>1141</v>
      </c>
      <c r="D554" s="31">
        <v>0</v>
      </c>
      <c r="E554" s="31">
        <v>1</v>
      </c>
      <c r="F554" s="31" t="s">
        <v>1143</v>
      </c>
      <c r="G554" s="31">
        <v>0</v>
      </c>
      <c r="H554" s="31">
        <v>1</v>
      </c>
      <c r="I554" s="31" t="e">
        <f t="shared" ca="1" si="28"/>
        <v>#NAME?</v>
      </c>
      <c r="K554" s="31" t="s">
        <v>770</v>
      </c>
      <c r="L554" s="31" t="s">
        <v>1136</v>
      </c>
      <c r="M554" s="31">
        <f t="shared" si="1"/>
        <v>1</v>
      </c>
    </row>
    <row r="555" spans="1:13" ht="13">
      <c r="A555" s="34" t="s">
        <v>1145</v>
      </c>
      <c r="B555" s="31" t="s">
        <v>28</v>
      </c>
      <c r="C555" s="33" t="s">
        <v>1146</v>
      </c>
      <c r="D555" s="31">
        <v>0</v>
      </c>
      <c r="E555" s="31">
        <v>0</v>
      </c>
      <c r="F555" s="31" t="s">
        <v>112</v>
      </c>
      <c r="G555" s="31">
        <v>0</v>
      </c>
      <c r="H555" s="31">
        <v>0</v>
      </c>
      <c r="I555" s="31" t="e">
        <f t="shared" ca="1" si="28"/>
        <v>#NAME?</v>
      </c>
      <c r="L555" s="31">
        <v>0</v>
      </c>
      <c r="M555" s="31">
        <f t="shared" si="1"/>
        <v>1</v>
      </c>
    </row>
    <row r="556" spans="1:13" ht="13">
      <c r="A556" s="34" t="s">
        <v>1148</v>
      </c>
      <c r="B556" s="31" t="s">
        <v>74</v>
      </c>
      <c r="C556" s="33" t="s">
        <v>456</v>
      </c>
      <c r="D556" s="31">
        <v>0</v>
      </c>
      <c r="E556" s="31">
        <v>1</v>
      </c>
      <c r="F556" s="31" t="s">
        <v>1149</v>
      </c>
      <c r="G556" s="31">
        <v>0</v>
      </c>
      <c r="H556" s="31">
        <v>1</v>
      </c>
      <c r="I556" s="31" t="e">
        <f t="shared" ca="1" si="28"/>
        <v>#NAME?</v>
      </c>
      <c r="L556" s="31">
        <v>0</v>
      </c>
      <c r="M556" s="31">
        <f t="shared" si="1"/>
        <v>1</v>
      </c>
    </row>
    <row r="557" spans="1:13" ht="13">
      <c r="A557" s="34" t="s">
        <v>1148</v>
      </c>
      <c r="B557" s="31" t="s">
        <v>74</v>
      </c>
      <c r="C557" s="33" t="s">
        <v>456</v>
      </c>
      <c r="D557" s="31">
        <v>0</v>
      </c>
      <c r="E557" s="31">
        <v>1</v>
      </c>
      <c r="F557" s="31" t="s">
        <v>1152</v>
      </c>
      <c r="G557" s="31">
        <v>0</v>
      </c>
      <c r="H557" s="31">
        <v>1</v>
      </c>
      <c r="I557" s="31" t="e">
        <f t="shared" ca="1" si="28"/>
        <v>#NAME?</v>
      </c>
      <c r="L557" s="31">
        <v>0</v>
      </c>
      <c r="M557" s="31">
        <f t="shared" si="1"/>
        <v>0</v>
      </c>
    </row>
    <row r="558" spans="1:13" ht="13">
      <c r="A558" s="34" t="s">
        <v>1148</v>
      </c>
      <c r="B558" s="31" t="s">
        <v>74</v>
      </c>
      <c r="C558" s="33" t="s">
        <v>456</v>
      </c>
      <c r="D558" s="31">
        <v>0</v>
      </c>
      <c r="E558" s="31">
        <v>1</v>
      </c>
      <c r="F558" s="31" t="s">
        <v>1156</v>
      </c>
      <c r="G558" s="31">
        <v>0</v>
      </c>
      <c r="H558" s="31">
        <v>1</v>
      </c>
      <c r="I558" s="31" t="e">
        <f t="shared" ca="1" si="28"/>
        <v>#NAME?</v>
      </c>
      <c r="L558" s="31">
        <v>0</v>
      </c>
      <c r="M558" s="31">
        <f t="shared" si="1"/>
        <v>0</v>
      </c>
    </row>
    <row r="559" spans="1:13" ht="13">
      <c r="A559" s="34" t="s">
        <v>1157</v>
      </c>
      <c r="B559" s="31" t="s">
        <v>28</v>
      </c>
      <c r="C559" s="33" t="s">
        <v>1158</v>
      </c>
      <c r="D559" s="31">
        <v>0</v>
      </c>
      <c r="E559" s="31">
        <v>0</v>
      </c>
      <c r="F559" s="31" t="s">
        <v>1161</v>
      </c>
      <c r="G559" s="31">
        <v>0</v>
      </c>
      <c r="H559" s="31">
        <v>1</v>
      </c>
      <c r="I559" s="31" t="e">
        <f t="shared" ca="1" si="28"/>
        <v>#NAME?</v>
      </c>
      <c r="L559" s="31">
        <v>0</v>
      </c>
      <c r="M559" s="31">
        <f t="shared" si="1"/>
        <v>1</v>
      </c>
    </row>
    <row r="560" spans="1:13" ht="13">
      <c r="A560" s="34" t="s">
        <v>1157</v>
      </c>
      <c r="B560" s="31" t="s">
        <v>28</v>
      </c>
      <c r="C560" s="31" t="s">
        <v>1162</v>
      </c>
      <c r="D560" s="31">
        <v>0</v>
      </c>
      <c r="E560" s="31">
        <v>0</v>
      </c>
      <c r="F560" s="31" t="s">
        <v>1164</v>
      </c>
      <c r="G560" s="31">
        <v>0</v>
      </c>
      <c r="H560" s="31">
        <v>1</v>
      </c>
      <c r="I560" s="31" t="e">
        <f t="shared" ca="1" si="28"/>
        <v>#NAME?</v>
      </c>
      <c r="L560" s="31">
        <v>0</v>
      </c>
      <c r="M560" s="31">
        <f t="shared" si="1"/>
        <v>0</v>
      </c>
    </row>
    <row r="561" spans="1:13" ht="13">
      <c r="A561" s="34" t="s">
        <v>1165</v>
      </c>
      <c r="B561" s="31" t="s">
        <v>28</v>
      </c>
      <c r="C561" s="33" t="s">
        <v>1166</v>
      </c>
      <c r="D561" s="31">
        <v>0</v>
      </c>
      <c r="E561" s="31">
        <v>0</v>
      </c>
      <c r="F561" s="31" t="s">
        <v>345</v>
      </c>
      <c r="G561" s="31">
        <v>0</v>
      </c>
      <c r="H561" s="31">
        <v>1</v>
      </c>
      <c r="I561" s="31" t="e">
        <f t="shared" ca="1" si="28"/>
        <v>#NAME?</v>
      </c>
      <c r="L561" s="31">
        <v>0</v>
      </c>
      <c r="M561" s="31">
        <f t="shared" si="1"/>
        <v>1</v>
      </c>
    </row>
    <row r="562" spans="1:13" ht="13">
      <c r="A562" s="34" t="s">
        <v>1165</v>
      </c>
      <c r="B562" s="31" t="s">
        <v>28</v>
      </c>
      <c r="C562" s="31" t="s">
        <v>1167</v>
      </c>
      <c r="D562" s="31">
        <v>0</v>
      </c>
      <c r="E562" s="31">
        <v>0</v>
      </c>
      <c r="F562" s="31" t="s">
        <v>1168</v>
      </c>
      <c r="G562" s="31">
        <v>0</v>
      </c>
      <c r="H562" s="31">
        <v>1</v>
      </c>
      <c r="I562" s="31" t="e">
        <f t="shared" ca="1" si="28"/>
        <v>#NAME?</v>
      </c>
      <c r="L562" s="31">
        <v>0</v>
      </c>
      <c r="M562" s="31">
        <f t="shared" si="1"/>
        <v>0</v>
      </c>
    </row>
    <row r="563" spans="1:13" ht="13">
      <c r="A563" s="34" t="s">
        <v>1165</v>
      </c>
      <c r="B563" s="31" t="s">
        <v>28</v>
      </c>
      <c r="C563" s="31" t="s">
        <v>1169</v>
      </c>
      <c r="D563" s="31">
        <v>0</v>
      </c>
      <c r="E563" s="31">
        <v>0</v>
      </c>
      <c r="F563" s="31" t="s">
        <v>1170</v>
      </c>
      <c r="G563" s="31">
        <v>0</v>
      </c>
      <c r="H563" s="31">
        <v>1</v>
      </c>
      <c r="I563" s="31" t="e">
        <f t="shared" ca="1" si="28"/>
        <v>#NAME?</v>
      </c>
      <c r="L563" s="31">
        <v>0</v>
      </c>
      <c r="M563" s="31">
        <f t="shared" si="1"/>
        <v>0</v>
      </c>
    </row>
    <row r="564" spans="1:13" ht="13">
      <c r="A564" s="34" t="s">
        <v>1165</v>
      </c>
      <c r="B564" s="31" t="s">
        <v>28</v>
      </c>
      <c r="C564" s="31" t="s">
        <v>1171</v>
      </c>
      <c r="D564" s="31">
        <v>0</v>
      </c>
      <c r="E564" s="31">
        <v>0</v>
      </c>
      <c r="F564" s="31" t="s">
        <v>1172</v>
      </c>
      <c r="G564" s="31">
        <v>0</v>
      </c>
      <c r="H564" s="31">
        <v>1</v>
      </c>
      <c r="I564" s="31" t="e">
        <f t="shared" ca="1" si="28"/>
        <v>#NAME?</v>
      </c>
      <c r="L564" s="31">
        <v>0</v>
      </c>
      <c r="M564" s="31">
        <f t="shared" si="1"/>
        <v>0</v>
      </c>
    </row>
    <row r="565" spans="1:13" ht="13">
      <c r="A565" s="34" t="s">
        <v>1165</v>
      </c>
      <c r="B565" s="31" t="s">
        <v>28</v>
      </c>
      <c r="C565" s="31" t="s">
        <v>1173</v>
      </c>
      <c r="D565" s="31">
        <v>0</v>
      </c>
      <c r="E565" s="31">
        <v>0</v>
      </c>
      <c r="F565" s="31" t="s">
        <v>1174</v>
      </c>
      <c r="G565" s="31">
        <v>0</v>
      </c>
      <c r="H565" s="31">
        <v>1</v>
      </c>
      <c r="I565" s="31" t="e">
        <f t="shared" ca="1" si="28"/>
        <v>#NAME?</v>
      </c>
      <c r="L565" s="31">
        <v>0</v>
      </c>
      <c r="M565" s="31">
        <f t="shared" si="1"/>
        <v>0</v>
      </c>
    </row>
    <row r="566" spans="1:13" ht="13">
      <c r="A566" s="34" t="s">
        <v>1165</v>
      </c>
      <c r="B566" s="31" t="s">
        <v>28</v>
      </c>
      <c r="C566" s="31" t="s">
        <v>1175</v>
      </c>
      <c r="D566" s="31">
        <v>0</v>
      </c>
      <c r="E566" s="31">
        <v>0</v>
      </c>
      <c r="F566" s="31" t="s">
        <v>1176</v>
      </c>
      <c r="G566" s="31">
        <v>0</v>
      </c>
      <c r="H566" s="31">
        <v>1</v>
      </c>
      <c r="I566" s="31" t="e">
        <f t="shared" ca="1" si="28"/>
        <v>#NAME?</v>
      </c>
      <c r="L566" s="31">
        <v>0</v>
      </c>
      <c r="M566" s="31">
        <f t="shared" si="1"/>
        <v>0</v>
      </c>
    </row>
    <row r="567" spans="1:13" ht="13">
      <c r="A567" s="34" t="s">
        <v>1177</v>
      </c>
      <c r="B567" s="31" t="s">
        <v>28</v>
      </c>
      <c r="C567" s="33" t="s">
        <v>1178</v>
      </c>
      <c r="D567" s="31">
        <v>0</v>
      </c>
      <c r="E567" s="31">
        <v>0</v>
      </c>
      <c r="F567" s="31" t="s">
        <v>1181</v>
      </c>
      <c r="G567" s="31">
        <v>0</v>
      </c>
      <c r="H567" s="31">
        <v>1</v>
      </c>
      <c r="I567" s="31" t="e">
        <f t="shared" ca="1" si="28"/>
        <v>#NAME?</v>
      </c>
      <c r="L567" s="31">
        <v>1</v>
      </c>
      <c r="M567" s="31">
        <f t="shared" si="1"/>
        <v>1</v>
      </c>
    </row>
    <row r="568" spans="1:13" ht="13">
      <c r="A568" s="34" t="s">
        <v>1177</v>
      </c>
      <c r="B568" s="31" t="s">
        <v>28</v>
      </c>
      <c r="C568" s="33" t="s">
        <v>1178</v>
      </c>
      <c r="D568" s="31">
        <v>0</v>
      </c>
      <c r="E568" s="31">
        <v>0</v>
      </c>
      <c r="F568" s="31" t="s">
        <v>1185</v>
      </c>
      <c r="G568" s="31">
        <v>0</v>
      </c>
      <c r="H568" s="31">
        <v>1</v>
      </c>
      <c r="I568" s="31" t="e">
        <f t="shared" ca="1" si="28"/>
        <v>#NAME?</v>
      </c>
      <c r="L568" s="31">
        <v>1</v>
      </c>
      <c r="M568" s="31">
        <f t="shared" si="1"/>
        <v>0</v>
      </c>
    </row>
    <row r="569" spans="1:13" ht="13">
      <c r="A569" s="34" t="s">
        <v>1177</v>
      </c>
      <c r="B569" s="31" t="s">
        <v>28</v>
      </c>
      <c r="C569" s="33" t="s">
        <v>1178</v>
      </c>
      <c r="D569" s="31">
        <v>0</v>
      </c>
      <c r="E569" s="31">
        <v>0</v>
      </c>
      <c r="F569" s="31" t="s">
        <v>1187</v>
      </c>
      <c r="G569" s="31">
        <v>0</v>
      </c>
      <c r="H569" s="31">
        <v>1</v>
      </c>
      <c r="I569" s="31" t="e">
        <f t="shared" ca="1" si="28"/>
        <v>#NAME?</v>
      </c>
      <c r="L569" s="31">
        <v>1</v>
      </c>
      <c r="M569" s="31">
        <f t="shared" si="1"/>
        <v>0</v>
      </c>
    </row>
    <row r="570" spans="1:13" ht="13">
      <c r="A570" s="34" t="s">
        <v>1188</v>
      </c>
      <c r="B570" s="31" t="s">
        <v>28</v>
      </c>
      <c r="C570" s="33" t="s">
        <v>1189</v>
      </c>
      <c r="D570" s="31">
        <v>0</v>
      </c>
      <c r="E570" s="31">
        <v>0</v>
      </c>
      <c r="F570" s="31" t="s">
        <v>1190</v>
      </c>
      <c r="G570" s="31">
        <v>0</v>
      </c>
      <c r="H570" s="31">
        <v>1</v>
      </c>
      <c r="I570" s="31" t="e">
        <f t="shared" ca="1" si="28"/>
        <v>#NAME?</v>
      </c>
      <c r="L570" s="31">
        <v>1</v>
      </c>
      <c r="M570" s="31">
        <f t="shared" si="1"/>
        <v>1</v>
      </c>
    </row>
    <row r="571" spans="1:13" ht="13">
      <c r="A571" s="34" t="s">
        <v>1188</v>
      </c>
      <c r="B571" s="31" t="s">
        <v>28</v>
      </c>
      <c r="C571" s="33" t="s">
        <v>1189</v>
      </c>
      <c r="D571" s="31">
        <v>0</v>
      </c>
      <c r="E571" s="31">
        <v>0</v>
      </c>
      <c r="F571" s="31" t="s">
        <v>1191</v>
      </c>
      <c r="G571" s="31">
        <v>0</v>
      </c>
      <c r="H571" s="31">
        <v>1</v>
      </c>
      <c r="I571" s="31" t="e">
        <f t="shared" ca="1" si="28"/>
        <v>#NAME?</v>
      </c>
      <c r="L571" s="31">
        <v>1</v>
      </c>
      <c r="M571" s="31">
        <f t="shared" si="1"/>
        <v>0</v>
      </c>
    </row>
    <row r="572" spans="1:13" ht="13">
      <c r="A572" s="34" t="s">
        <v>1188</v>
      </c>
      <c r="B572" s="31" t="s">
        <v>28</v>
      </c>
      <c r="C572" s="33" t="s">
        <v>1189</v>
      </c>
      <c r="D572" s="31">
        <v>0</v>
      </c>
      <c r="E572" s="31">
        <v>0</v>
      </c>
      <c r="F572" s="31" t="s">
        <v>1194</v>
      </c>
      <c r="G572" s="31">
        <v>0</v>
      </c>
      <c r="H572" s="31">
        <v>1</v>
      </c>
      <c r="I572" s="31" t="e">
        <f t="shared" ca="1" si="28"/>
        <v>#NAME?</v>
      </c>
      <c r="L572" s="31">
        <v>1</v>
      </c>
      <c r="M572" s="31">
        <f t="shared" si="1"/>
        <v>0</v>
      </c>
    </row>
    <row r="573" spans="1:13" ht="13">
      <c r="A573" s="34" t="s">
        <v>1195</v>
      </c>
      <c r="B573" s="31" t="s">
        <v>1196</v>
      </c>
      <c r="C573" s="33" t="s">
        <v>1151</v>
      </c>
      <c r="D573" s="31">
        <v>0</v>
      </c>
      <c r="E573" s="31">
        <v>1</v>
      </c>
      <c r="F573" s="31" t="s">
        <v>1198</v>
      </c>
      <c r="G573" s="31">
        <v>0</v>
      </c>
      <c r="H573" s="31">
        <v>1</v>
      </c>
      <c r="I573" s="31" t="e">
        <f t="shared" ca="1" si="28"/>
        <v>#NAME?</v>
      </c>
      <c r="L573" s="31">
        <v>0</v>
      </c>
      <c r="M573" s="31">
        <f t="shared" si="1"/>
        <v>1</v>
      </c>
    </row>
    <row r="574" spans="1:13" ht="13">
      <c r="A574" s="34" t="s">
        <v>1195</v>
      </c>
      <c r="B574" s="31" t="s">
        <v>1196</v>
      </c>
      <c r="C574" s="33" t="s">
        <v>1151</v>
      </c>
      <c r="D574" s="31">
        <v>0</v>
      </c>
      <c r="E574" s="31">
        <v>1</v>
      </c>
      <c r="F574" s="31" t="s">
        <v>1201</v>
      </c>
      <c r="G574" s="31">
        <v>0</v>
      </c>
      <c r="H574" s="31">
        <v>1</v>
      </c>
      <c r="I574" s="31" t="e">
        <f t="shared" ca="1" si="28"/>
        <v>#NAME?</v>
      </c>
      <c r="L574" s="31">
        <v>0</v>
      </c>
      <c r="M574" s="31">
        <f t="shared" si="1"/>
        <v>0</v>
      </c>
    </row>
    <row r="575" spans="1:13" ht="13">
      <c r="A575" s="34" t="s">
        <v>1195</v>
      </c>
      <c r="B575" s="31" t="s">
        <v>1196</v>
      </c>
      <c r="C575" s="33" t="s">
        <v>1151</v>
      </c>
      <c r="D575" s="31">
        <v>0</v>
      </c>
      <c r="E575" s="31">
        <v>1</v>
      </c>
      <c r="F575" s="31" t="s">
        <v>1203</v>
      </c>
      <c r="G575" s="31">
        <v>0</v>
      </c>
      <c r="H575" s="31">
        <v>1</v>
      </c>
      <c r="I575" s="31" t="e">
        <f t="shared" ca="1" si="28"/>
        <v>#NAME?</v>
      </c>
      <c r="L575" s="31">
        <v>0</v>
      </c>
      <c r="M575" s="31">
        <f t="shared" si="1"/>
        <v>0</v>
      </c>
    </row>
    <row r="576" spans="1:13" ht="13">
      <c r="A576" s="34" t="s">
        <v>1204</v>
      </c>
      <c r="B576" s="31" t="s">
        <v>28</v>
      </c>
      <c r="C576" s="33" t="s">
        <v>1150</v>
      </c>
      <c r="D576" s="31">
        <v>1</v>
      </c>
      <c r="E576" s="31">
        <v>1</v>
      </c>
      <c r="G576" s="34"/>
      <c r="I576" s="31" t="str">
        <f t="shared" si="28"/>
        <v/>
      </c>
      <c r="L576" s="31">
        <v>1</v>
      </c>
      <c r="M576" s="31">
        <f t="shared" si="1"/>
        <v>1</v>
      </c>
    </row>
    <row r="577" spans="1:13" ht="13">
      <c r="A577" s="34" t="s">
        <v>1205</v>
      </c>
      <c r="B577" s="31" t="s">
        <v>28</v>
      </c>
      <c r="C577" s="33" t="s">
        <v>1132</v>
      </c>
      <c r="D577" s="31">
        <v>0</v>
      </c>
      <c r="E577" s="31">
        <v>1</v>
      </c>
      <c r="F577" s="31" t="s">
        <v>1206</v>
      </c>
      <c r="G577" s="31">
        <v>0</v>
      </c>
      <c r="H577" s="31">
        <v>1</v>
      </c>
      <c r="I577" s="31" t="e">
        <f t="shared" ca="1" si="28"/>
        <v>#NAME?</v>
      </c>
      <c r="L577" s="31">
        <v>1</v>
      </c>
      <c r="M577" s="31">
        <f t="shared" si="1"/>
        <v>1</v>
      </c>
    </row>
    <row r="578" spans="1:13" ht="13">
      <c r="A578" s="34" t="s">
        <v>1205</v>
      </c>
      <c r="B578" s="31" t="s">
        <v>28</v>
      </c>
      <c r="C578" s="33" t="s">
        <v>1132</v>
      </c>
      <c r="D578" s="31">
        <v>0</v>
      </c>
      <c r="E578" s="31">
        <v>1</v>
      </c>
      <c r="F578" s="31" t="s">
        <v>1208</v>
      </c>
      <c r="G578" s="31">
        <v>0</v>
      </c>
      <c r="H578" s="31">
        <v>1</v>
      </c>
      <c r="I578" s="31" t="e">
        <f t="shared" ca="1" si="28"/>
        <v>#NAME?</v>
      </c>
      <c r="L578" s="31">
        <v>1</v>
      </c>
      <c r="M578" s="31">
        <f t="shared" si="1"/>
        <v>0</v>
      </c>
    </row>
    <row r="579" spans="1:13" ht="13">
      <c r="A579" s="31" t="s">
        <v>1209</v>
      </c>
      <c r="B579" s="31" t="s">
        <v>28</v>
      </c>
      <c r="C579" s="33" t="s">
        <v>1129</v>
      </c>
      <c r="D579" s="31">
        <v>0</v>
      </c>
      <c r="E579" s="31">
        <v>0</v>
      </c>
      <c r="F579" s="31" t="s">
        <v>1122</v>
      </c>
      <c r="G579" s="31">
        <v>0</v>
      </c>
      <c r="H579" s="31">
        <v>0</v>
      </c>
      <c r="I579" s="31" t="e">
        <f t="shared" ca="1" si="28"/>
        <v>#NAME?</v>
      </c>
      <c r="L579" s="31">
        <v>1</v>
      </c>
      <c r="M579" s="31">
        <f t="shared" si="1"/>
        <v>1</v>
      </c>
    </row>
    <row r="580" spans="1:13" ht="13">
      <c r="A580" s="31" t="s">
        <v>1209</v>
      </c>
      <c r="B580" s="31" t="s">
        <v>28</v>
      </c>
      <c r="C580" s="33" t="s">
        <v>1129</v>
      </c>
      <c r="D580" s="31">
        <v>0</v>
      </c>
      <c r="E580" s="31">
        <v>0</v>
      </c>
      <c r="F580" s="31" t="s">
        <v>345</v>
      </c>
      <c r="G580" s="31">
        <v>0</v>
      </c>
      <c r="H580" s="31">
        <v>1</v>
      </c>
      <c r="I580" s="31" t="e">
        <f t="shared" ca="1" si="28"/>
        <v>#NAME?</v>
      </c>
      <c r="L580" s="31">
        <v>1</v>
      </c>
      <c r="M580" s="31">
        <f t="shared" si="1"/>
        <v>0</v>
      </c>
    </row>
    <row r="581" spans="1:13" ht="13">
      <c r="A581" s="31" t="s">
        <v>1209</v>
      </c>
      <c r="B581" s="31" t="s">
        <v>28</v>
      </c>
      <c r="C581" s="33" t="s">
        <v>1129</v>
      </c>
      <c r="D581" s="31">
        <v>0</v>
      </c>
      <c r="E581" s="31">
        <v>0</v>
      </c>
      <c r="F581" s="31" t="s">
        <v>686</v>
      </c>
      <c r="G581" s="31">
        <v>0</v>
      </c>
      <c r="H581" s="31">
        <v>1</v>
      </c>
      <c r="I581" s="31" t="e">
        <f t="shared" ca="1" si="28"/>
        <v>#NAME?</v>
      </c>
      <c r="L581" s="31">
        <v>1</v>
      </c>
      <c r="M581" s="31">
        <f t="shared" si="1"/>
        <v>0</v>
      </c>
    </row>
    <row r="582" spans="1:13" ht="13">
      <c r="A582" s="31" t="s">
        <v>1209</v>
      </c>
      <c r="B582" s="31" t="s">
        <v>28</v>
      </c>
      <c r="C582" s="33" t="s">
        <v>1129</v>
      </c>
      <c r="D582" s="31">
        <v>0</v>
      </c>
      <c r="E582" s="31">
        <v>0</v>
      </c>
      <c r="F582" s="31" t="s">
        <v>1212</v>
      </c>
      <c r="G582" s="31">
        <v>0</v>
      </c>
      <c r="H582" s="31">
        <v>1</v>
      </c>
      <c r="I582" s="31" t="e">
        <f t="shared" ca="1" si="28"/>
        <v>#NAME?</v>
      </c>
      <c r="L582" s="31">
        <v>1</v>
      </c>
      <c r="M582" s="31">
        <f t="shared" si="1"/>
        <v>0</v>
      </c>
    </row>
    <row r="583" spans="1:13" ht="13">
      <c r="A583" s="31" t="s">
        <v>1209</v>
      </c>
      <c r="B583" s="31" t="s">
        <v>28</v>
      </c>
      <c r="C583" s="33" t="s">
        <v>1129</v>
      </c>
      <c r="D583" s="31">
        <v>0</v>
      </c>
      <c r="E583" s="31">
        <v>0</v>
      </c>
      <c r="F583" s="31" t="s">
        <v>1213</v>
      </c>
      <c r="G583" s="31">
        <v>0</v>
      </c>
      <c r="H583" s="31">
        <v>1</v>
      </c>
      <c r="I583" s="31" t="e">
        <f t="shared" ca="1" si="28"/>
        <v>#NAME?</v>
      </c>
      <c r="L583" s="31">
        <v>1</v>
      </c>
      <c r="M583" s="31">
        <f t="shared" si="1"/>
        <v>0</v>
      </c>
    </row>
    <row r="584" spans="1:13" ht="13">
      <c r="A584" s="46" t="s">
        <v>1214</v>
      </c>
      <c r="B584" s="31" t="s">
        <v>62</v>
      </c>
      <c r="C584" s="33" t="s">
        <v>1108</v>
      </c>
      <c r="D584" s="31">
        <v>0</v>
      </c>
      <c r="E584" s="31">
        <v>0</v>
      </c>
      <c r="F584" s="31" t="s">
        <v>1215</v>
      </c>
      <c r="G584" s="31">
        <v>0</v>
      </c>
      <c r="H584" s="31">
        <v>1</v>
      </c>
      <c r="I584" s="31" t="e">
        <f t="shared" ca="1" si="28"/>
        <v>#NAME?</v>
      </c>
      <c r="K584" s="31" t="s">
        <v>770</v>
      </c>
      <c r="L584" s="31">
        <v>1</v>
      </c>
      <c r="M584" s="31">
        <f t="shared" si="1"/>
        <v>1</v>
      </c>
    </row>
    <row r="585" spans="1:13" ht="13">
      <c r="A585" s="34" t="s">
        <v>1216</v>
      </c>
      <c r="B585" s="31" t="s">
        <v>62</v>
      </c>
      <c r="C585" s="33" t="s">
        <v>967</v>
      </c>
      <c r="D585" s="31">
        <v>0</v>
      </c>
      <c r="E585" s="31">
        <v>1</v>
      </c>
      <c r="F585" s="31" t="s">
        <v>1217</v>
      </c>
      <c r="G585" s="31">
        <v>0</v>
      </c>
      <c r="H585" s="31">
        <v>1</v>
      </c>
      <c r="I585" s="31" t="e">
        <f t="shared" ca="1" si="28"/>
        <v>#NAME?</v>
      </c>
      <c r="L585" s="31">
        <v>0</v>
      </c>
      <c r="M585" s="31">
        <f t="shared" si="1"/>
        <v>1</v>
      </c>
    </row>
    <row r="586" spans="1:13" ht="13">
      <c r="A586" s="34" t="s">
        <v>1216</v>
      </c>
      <c r="B586" s="31" t="s">
        <v>62</v>
      </c>
      <c r="C586" s="31" t="s">
        <v>1218</v>
      </c>
      <c r="D586" s="31">
        <v>0</v>
      </c>
      <c r="E586" s="31">
        <v>1</v>
      </c>
      <c r="F586" s="31" t="s">
        <v>1219</v>
      </c>
      <c r="G586" s="31">
        <v>0</v>
      </c>
      <c r="H586" s="31">
        <v>1</v>
      </c>
      <c r="I586" s="31" t="e">
        <f t="shared" ca="1" si="28"/>
        <v>#NAME?</v>
      </c>
      <c r="L586" s="31">
        <v>0</v>
      </c>
      <c r="M586" s="31">
        <f t="shared" si="1"/>
        <v>0</v>
      </c>
    </row>
    <row r="587" spans="1:13" ht="13">
      <c r="A587" s="34" t="s">
        <v>1216</v>
      </c>
      <c r="B587" s="31" t="s">
        <v>62</v>
      </c>
      <c r="C587" s="31" t="s">
        <v>1220</v>
      </c>
      <c r="D587" s="31">
        <v>0</v>
      </c>
      <c r="E587" s="31">
        <v>1</v>
      </c>
      <c r="F587" s="31" t="s">
        <v>1221</v>
      </c>
      <c r="G587" s="31">
        <v>0</v>
      </c>
      <c r="H587" s="31">
        <v>1</v>
      </c>
      <c r="I587" s="31" t="e">
        <f t="shared" ca="1" si="28"/>
        <v>#NAME?</v>
      </c>
      <c r="L587" s="31">
        <v>0</v>
      </c>
      <c r="M587" s="31">
        <f t="shared" si="1"/>
        <v>0</v>
      </c>
    </row>
    <row r="588" spans="1:13" ht="13">
      <c r="A588" s="34" t="s">
        <v>1216</v>
      </c>
      <c r="B588" s="31" t="s">
        <v>62</v>
      </c>
      <c r="C588" s="31" t="s">
        <v>1222</v>
      </c>
      <c r="D588" s="31">
        <v>0</v>
      </c>
      <c r="E588" s="31">
        <v>1</v>
      </c>
      <c r="F588" s="31" t="s">
        <v>1223</v>
      </c>
      <c r="G588" s="31">
        <v>0</v>
      </c>
      <c r="H588" s="31">
        <v>1</v>
      </c>
      <c r="I588" s="31" t="e">
        <f t="shared" ca="1" si="28"/>
        <v>#NAME?</v>
      </c>
      <c r="L588" s="31">
        <v>0</v>
      </c>
      <c r="M588" s="31">
        <f t="shared" si="1"/>
        <v>0</v>
      </c>
    </row>
    <row r="589" spans="1:13" ht="13">
      <c r="A589" s="34" t="s">
        <v>1216</v>
      </c>
      <c r="B589" s="31" t="s">
        <v>62</v>
      </c>
      <c r="C589" s="31" t="s">
        <v>1224</v>
      </c>
      <c r="D589" s="31">
        <v>0</v>
      </c>
      <c r="E589" s="31">
        <v>1</v>
      </c>
      <c r="F589" s="31" t="s">
        <v>1225</v>
      </c>
      <c r="G589" s="31">
        <v>0</v>
      </c>
      <c r="H589" s="31">
        <v>1</v>
      </c>
      <c r="I589" s="31" t="e">
        <f t="shared" ca="1" si="28"/>
        <v>#NAME?</v>
      </c>
      <c r="L589" s="31">
        <v>0</v>
      </c>
      <c r="M589" s="31">
        <f t="shared" si="1"/>
        <v>0</v>
      </c>
    </row>
    <row r="590" spans="1:13" ht="13">
      <c r="A590" s="46" t="s">
        <v>1226</v>
      </c>
      <c r="B590" s="31" t="s">
        <v>62</v>
      </c>
      <c r="C590" s="33" t="s">
        <v>1227</v>
      </c>
      <c r="D590" s="31">
        <v>0</v>
      </c>
      <c r="E590" s="31">
        <v>1</v>
      </c>
      <c r="F590" s="31" t="s">
        <v>1228</v>
      </c>
      <c r="G590" s="31">
        <v>0</v>
      </c>
      <c r="H590" s="31">
        <v>1</v>
      </c>
      <c r="I590" s="31" t="e">
        <f t="shared" ca="1" si="28"/>
        <v>#NAME?</v>
      </c>
      <c r="L590" s="31">
        <v>0</v>
      </c>
      <c r="M590" s="31">
        <f t="shared" si="1"/>
        <v>1</v>
      </c>
    </row>
    <row r="591" spans="1:13" ht="13">
      <c r="A591" s="34" t="s">
        <v>1229</v>
      </c>
      <c r="B591" s="31" t="s">
        <v>74</v>
      </c>
      <c r="C591" s="33" t="s">
        <v>497</v>
      </c>
      <c r="D591" s="31">
        <v>0</v>
      </c>
      <c r="E591" s="31">
        <v>1</v>
      </c>
      <c r="F591" s="31" t="s">
        <v>1230</v>
      </c>
      <c r="G591" s="31">
        <v>0</v>
      </c>
      <c r="H591" s="31">
        <v>1</v>
      </c>
      <c r="I591" s="31" t="e">
        <f t="shared" ca="1" si="28"/>
        <v>#NAME?</v>
      </c>
      <c r="L591" s="31">
        <v>0</v>
      </c>
      <c r="M591" s="31">
        <f t="shared" si="1"/>
        <v>1</v>
      </c>
    </row>
    <row r="592" spans="1:13" ht="13">
      <c r="A592" s="34" t="s">
        <v>1229</v>
      </c>
      <c r="B592" s="31" t="s">
        <v>74</v>
      </c>
      <c r="C592" s="33" t="s">
        <v>497</v>
      </c>
      <c r="D592" s="31">
        <v>0</v>
      </c>
      <c r="E592" s="31">
        <v>1</v>
      </c>
      <c r="F592" s="31" t="s">
        <v>1231</v>
      </c>
      <c r="G592" s="31">
        <v>0</v>
      </c>
      <c r="H592" s="31">
        <v>1</v>
      </c>
      <c r="I592" s="31" t="e">
        <f t="shared" ca="1" si="28"/>
        <v>#NAME?</v>
      </c>
      <c r="L592" s="31">
        <v>0</v>
      </c>
      <c r="M592" s="31">
        <f t="shared" si="1"/>
        <v>0</v>
      </c>
    </row>
    <row r="593" spans="1:13" ht="13">
      <c r="A593" s="34" t="s">
        <v>1229</v>
      </c>
      <c r="B593" s="31" t="s">
        <v>74</v>
      </c>
      <c r="C593" s="33" t="s">
        <v>497</v>
      </c>
      <c r="D593" s="31">
        <v>0</v>
      </c>
      <c r="E593" s="31">
        <v>1</v>
      </c>
      <c r="F593" s="31" t="s">
        <v>1232</v>
      </c>
      <c r="G593" s="31">
        <v>0</v>
      </c>
      <c r="H593" s="31">
        <v>1</v>
      </c>
      <c r="I593" s="31" t="e">
        <f t="shared" ca="1" si="28"/>
        <v>#NAME?</v>
      </c>
      <c r="L593" s="31">
        <v>0</v>
      </c>
      <c r="M593" s="31">
        <f t="shared" si="1"/>
        <v>0</v>
      </c>
    </row>
    <row r="594" spans="1:13" ht="13">
      <c r="A594" s="34" t="s">
        <v>1229</v>
      </c>
      <c r="B594" s="31" t="s">
        <v>74</v>
      </c>
      <c r="C594" s="33" t="s">
        <v>497</v>
      </c>
      <c r="D594" s="31">
        <v>0</v>
      </c>
      <c r="E594" s="31">
        <v>1</v>
      </c>
      <c r="F594" s="31" t="s">
        <v>1233</v>
      </c>
      <c r="G594" s="31">
        <v>0</v>
      </c>
      <c r="H594" s="31">
        <v>1</v>
      </c>
      <c r="I594" s="31" t="e">
        <f t="shared" ca="1" si="28"/>
        <v>#NAME?</v>
      </c>
      <c r="L594" s="31">
        <v>0</v>
      </c>
      <c r="M594" s="31">
        <f t="shared" si="1"/>
        <v>0</v>
      </c>
    </row>
    <row r="595" spans="1:13" ht="13">
      <c r="A595" s="34" t="s">
        <v>1229</v>
      </c>
      <c r="B595" s="31" t="s">
        <v>74</v>
      </c>
      <c r="C595" s="33" t="s">
        <v>497</v>
      </c>
      <c r="D595" s="31">
        <v>0</v>
      </c>
      <c r="E595" s="31">
        <v>1</v>
      </c>
      <c r="F595" s="31" t="s">
        <v>1234</v>
      </c>
      <c r="G595" s="31">
        <v>0</v>
      </c>
      <c r="H595" s="31">
        <v>1</v>
      </c>
      <c r="I595" s="31" t="e">
        <f t="shared" ca="1" si="28"/>
        <v>#NAME?</v>
      </c>
      <c r="L595" s="31">
        <v>0</v>
      </c>
      <c r="M595" s="31">
        <f t="shared" si="1"/>
        <v>0</v>
      </c>
    </row>
    <row r="596" spans="1:13" ht="13">
      <c r="A596" s="34" t="s">
        <v>1229</v>
      </c>
      <c r="B596" s="31" t="s">
        <v>74</v>
      </c>
      <c r="C596" s="33" t="s">
        <v>497</v>
      </c>
      <c r="D596" s="31">
        <v>0</v>
      </c>
      <c r="E596" s="31">
        <v>1</v>
      </c>
      <c r="F596" s="31" t="s">
        <v>1235</v>
      </c>
      <c r="G596" s="31">
        <v>0</v>
      </c>
      <c r="H596" s="31">
        <v>1</v>
      </c>
      <c r="I596" s="31" t="e">
        <f t="shared" ca="1" si="28"/>
        <v>#NAME?</v>
      </c>
      <c r="L596" s="31">
        <v>0</v>
      </c>
      <c r="M596" s="31">
        <f t="shared" si="1"/>
        <v>0</v>
      </c>
    </row>
    <row r="597" spans="1:13" ht="13">
      <c r="A597" s="34" t="s">
        <v>1236</v>
      </c>
      <c r="B597" s="31" t="s">
        <v>74</v>
      </c>
      <c r="C597" s="33" t="s">
        <v>477</v>
      </c>
      <c r="D597" s="31">
        <v>0</v>
      </c>
      <c r="E597" s="31">
        <v>0</v>
      </c>
      <c r="F597" s="31" t="s">
        <v>1237</v>
      </c>
      <c r="G597" s="31">
        <v>0</v>
      </c>
      <c r="H597" s="31">
        <v>1</v>
      </c>
      <c r="I597" s="31" t="e">
        <f t="shared" ca="1" si="28"/>
        <v>#NAME?</v>
      </c>
      <c r="L597" s="31">
        <v>0</v>
      </c>
      <c r="M597" s="31">
        <f t="shared" si="1"/>
        <v>1</v>
      </c>
    </row>
    <row r="598" spans="1:13" ht="13">
      <c r="A598" s="31" t="s">
        <v>1238</v>
      </c>
      <c r="B598" s="31" t="s">
        <v>28</v>
      </c>
      <c r="C598" s="33" t="s">
        <v>1179</v>
      </c>
      <c r="D598" s="31">
        <v>0</v>
      </c>
      <c r="E598" s="31">
        <v>1</v>
      </c>
      <c r="F598" s="31" t="s">
        <v>1239</v>
      </c>
      <c r="G598" s="31">
        <v>0</v>
      </c>
      <c r="H598" s="31">
        <v>1</v>
      </c>
      <c r="I598" s="31" t="e">
        <f t="shared" ca="1" si="28"/>
        <v>#NAME?</v>
      </c>
      <c r="L598" s="31">
        <v>0</v>
      </c>
      <c r="M598" s="31">
        <f t="shared" si="1"/>
        <v>1</v>
      </c>
    </row>
    <row r="599" spans="1:13" ht="13">
      <c r="A599" s="31" t="s">
        <v>1240</v>
      </c>
      <c r="B599" s="31" t="s">
        <v>28</v>
      </c>
      <c r="C599" s="33" t="s">
        <v>1180</v>
      </c>
      <c r="D599" s="31">
        <v>0</v>
      </c>
      <c r="E599" s="31">
        <v>0</v>
      </c>
      <c r="F599" s="31" t="s">
        <v>1241</v>
      </c>
      <c r="G599" s="31">
        <v>0</v>
      </c>
      <c r="H599" s="31">
        <v>1</v>
      </c>
      <c r="I599" s="31" t="e">
        <f t="shared" ca="1" si="28"/>
        <v>#NAME?</v>
      </c>
      <c r="K599" s="31" t="s">
        <v>770</v>
      </c>
      <c r="L599" s="31">
        <v>1</v>
      </c>
      <c r="M599" s="31">
        <f t="shared" si="1"/>
        <v>1</v>
      </c>
    </row>
    <row r="600" spans="1:13" ht="13">
      <c r="A600" s="31" t="s">
        <v>1240</v>
      </c>
      <c r="B600" s="31" t="s">
        <v>28</v>
      </c>
      <c r="C600" s="33" t="s">
        <v>1180</v>
      </c>
      <c r="D600" s="31">
        <v>0</v>
      </c>
      <c r="E600" s="31">
        <v>0</v>
      </c>
      <c r="F600" s="31" t="s">
        <v>567</v>
      </c>
      <c r="G600" s="31">
        <v>0</v>
      </c>
      <c r="H600" s="31">
        <v>1</v>
      </c>
      <c r="I600" s="31" t="e">
        <f t="shared" ca="1" si="28"/>
        <v>#NAME?</v>
      </c>
      <c r="L600" s="31">
        <v>1</v>
      </c>
      <c r="M600" s="31">
        <f t="shared" si="1"/>
        <v>0</v>
      </c>
    </row>
    <row r="601" spans="1:13" ht="13">
      <c r="A601" s="31" t="s">
        <v>1240</v>
      </c>
      <c r="B601" s="31" t="s">
        <v>28</v>
      </c>
      <c r="C601" s="33" t="s">
        <v>1180</v>
      </c>
      <c r="D601" s="31">
        <v>0</v>
      </c>
      <c r="E601" s="31">
        <v>0</v>
      </c>
      <c r="F601" s="31" t="s">
        <v>1242</v>
      </c>
      <c r="G601" s="31">
        <v>0</v>
      </c>
      <c r="H601" s="31">
        <v>1</v>
      </c>
      <c r="I601" s="31" t="e">
        <f t="shared" ca="1" si="28"/>
        <v>#NAME?</v>
      </c>
      <c r="L601" s="31">
        <v>1</v>
      </c>
      <c r="M601" s="31">
        <f t="shared" si="1"/>
        <v>0</v>
      </c>
    </row>
    <row r="602" spans="1:13" ht="13">
      <c r="A602" s="31" t="s">
        <v>1243</v>
      </c>
      <c r="B602" s="31" t="s">
        <v>28</v>
      </c>
      <c r="C602" s="33" t="s">
        <v>1182</v>
      </c>
      <c r="D602" s="31">
        <v>0</v>
      </c>
      <c r="E602" s="31">
        <v>1</v>
      </c>
      <c r="F602" s="31" t="s">
        <v>686</v>
      </c>
      <c r="G602" s="31">
        <v>0</v>
      </c>
      <c r="H602" s="31">
        <v>1</v>
      </c>
      <c r="I602" s="31" t="e">
        <f t="shared" ca="1" si="28"/>
        <v>#NAME?</v>
      </c>
      <c r="L602" s="31">
        <v>1</v>
      </c>
      <c r="M602" s="31">
        <f t="shared" si="1"/>
        <v>1</v>
      </c>
    </row>
    <row r="603" spans="1:13" ht="13">
      <c r="A603" s="31" t="s">
        <v>1243</v>
      </c>
      <c r="B603" s="31" t="s">
        <v>28</v>
      </c>
      <c r="C603" s="33" t="s">
        <v>1182</v>
      </c>
      <c r="D603" s="31">
        <v>0</v>
      </c>
      <c r="E603" s="31">
        <v>1</v>
      </c>
      <c r="F603" s="31" t="s">
        <v>1244</v>
      </c>
      <c r="G603" s="31">
        <v>0</v>
      </c>
      <c r="H603" s="31">
        <v>1</v>
      </c>
      <c r="I603" s="31" t="e">
        <f t="shared" ca="1" si="28"/>
        <v>#NAME?</v>
      </c>
      <c r="L603" s="31">
        <v>1</v>
      </c>
      <c r="M603" s="31">
        <f t="shared" si="1"/>
        <v>0</v>
      </c>
    </row>
    <row r="604" spans="1:13" ht="13">
      <c r="A604" s="31" t="s">
        <v>1245</v>
      </c>
      <c r="B604" s="31" t="s">
        <v>28</v>
      </c>
      <c r="C604" s="33" t="s">
        <v>1183</v>
      </c>
      <c r="D604" s="31">
        <v>0</v>
      </c>
      <c r="E604" s="31">
        <v>1</v>
      </c>
      <c r="F604" s="31" t="s">
        <v>1246</v>
      </c>
      <c r="G604" s="31">
        <v>0</v>
      </c>
      <c r="H604" s="31">
        <v>1</v>
      </c>
      <c r="I604" s="31" t="e">
        <f t="shared" ca="1" si="28"/>
        <v>#NAME?</v>
      </c>
      <c r="L604" s="31">
        <v>1</v>
      </c>
      <c r="M604" s="31">
        <f t="shared" si="1"/>
        <v>1</v>
      </c>
    </row>
    <row r="605" spans="1:13" ht="13">
      <c r="A605" s="31" t="s">
        <v>1245</v>
      </c>
      <c r="B605" s="31" t="s">
        <v>28</v>
      </c>
      <c r="C605" s="33" t="s">
        <v>1183</v>
      </c>
      <c r="D605" s="31">
        <v>0</v>
      </c>
      <c r="E605" s="31">
        <v>1</v>
      </c>
      <c r="F605" s="31" t="s">
        <v>1247</v>
      </c>
      <c r="G605" s="31">
        <v>0</v>
      </c>
      <c r="H605" s="31">
        <v>1</v>
      </c>
      <c r="I605" s="31" t="e">
        <f t="shared" ca="1" si="28"/>
        <v>#NAME?</v>
      </c>
      <c r="L605" s="31">
        <v>1</v>
      </c>
      <c r="M605" s="31">
        <f t="shared" si="1"/>
        <v>0</v>
      </c>
    </row>
    <row r="606" spans="1:13" ht="13">
      <c r="A606" s="31" t="s">
        <v>1248</v>
      </c>
      <c r="B606" s="31" t="s">
        <v>28</v>
      </c>
      <c r="C606" s="33" t="s">
        <v>1184</v>
      </c>
      <c r="D606" s="31">
        <v>0</v>
      </c>
      <c r="E606" s="31">
        <v>1</v>
      </c>
      <c r="F606" s="31" t="s">
        <v>1249</v>
      </c>
      <c r="G606" s="31">
        <v>0</v>
      </c>
      <c r="H606" s="31">
        <v>1</v>
      </c>
      <c r="I606" s="31" t="e">
        <f t="shared" ca="1" si="28"/>
        <v>#NAME?</v>
      </c>
      <c r="L606" s="31">
        <v>0</v>
      </c>
      <c r="M606" s="31">
        <f t="shared" si="1"/>
        <v>1</v>
      </c>
    </row>
    <row r="607" spans="1:13" ht="13">
      <c r="A607" s="31" t="s">
        <v>1250</v>
      </c>
      <c r="B607" s="31" t="s">
        <v>28</v>
      </c>
      <c r="C607" s="33" t="s">
        <v>1134</v>
      </c>
      <c r="D607" s="31">
        <v>0</v>
      </c>
      <c r="E607" s="31">
        <v>0</v>
      </c>
      <c r="F607" s="31" t="s">
        <v>1251</v>
      </c>
      <c r="G607" s="31">
        <v>0</v>
      </c>
      <c r="H607" s="31">
        <v>1</v>
      </c>
      <c r="I607" s="31" t="e">
        <f t="shared" ca="1" si="28"/>
        <v>#NAME?</v>
      </c>
      <c r="L607" s="31">
        <v>0</v>
      </c>
      <c r="M607" s="31">
        <f t="shared" si="1"/>
        <v>1</v>
      </c>
    </row>
    <row r="608" spans="1:13" ht="13">
      <c r="A608" s="31" t="s">
        <v>1250</v>
      </c>
      <c r="B608" s="31" t="s">
        <v>28</v>
      </c>
      <c r="C608" s="33" t="s">
        <v>1134</v>
      </c>
      <c r="D608" s="31">
        <v>0</v>
      </c>
      <c r="E608" s="31">
        <v>0</v>
      </c>
      <c r="F608" s="31" t="s">
        <v>1252</v>
      </c>
      <c r="G608" s="31">
        <v>0</v>
      </c>
      <c r="H608" s="31">
        <v>1</v>
      </c>
      <c r="I608" s="31" t="e">
        <f t="shared" ca="1" si="28"/>
        <v>#NAME?</v>
      </c>
      <c r="L608" s="31">
        <v>0</v>
      </c>
      <c r="M608" s="31">
        <f t="shared" si="1"/>
        <v>0</v>
      </c>
    </row>
    <row r="609" spans="1:13" ht="13">
      <c r="A609" s="31" t="s">
        <v>1250</v>
      </c>
      <c r="B609" s="31" t="s">
        <v>28</v>
      </c>
      <c r="C609" s="33" t="s">
        <v>1134</v>
      </c>
      <c r="D609" s="31">
        <v>0</v>
      </c>
      <c r="E609" s="31">
        <v>0</v>
      </c>
      <c r="F609" s="31" t="s">
        <v>1253</v>
      </c>
      <c r="G609" s="31">
        <v>0</v>
      </c>
      <c r="H609" s="31">
        <v>1</v>
      </c>
      <c r="I609" s="31" t="e">
        <f t="shared" ca="1" si="28"/>
        <v>#NAME?</v>
      </c>
      <c r="L609" s="31">
        <v>1</v>
      </c>
      <c r="M609" s="31">
        <f t="shared" si="1"/>
        <v>0</v>
      </c>
    </row>
    <row r="610" spans="1:13" ht="13">
      <c r="A610" s="31" t="s">
        <v>1250</v>
      </c>
      <c r="B610" s="31" t="s">
        <v>28</v>
      </c>
      <c r="C610" s="33" t="s">
        <v>1134</v>
      </c>
      <c r="D610" s="31">
        <v>0</v>
      </c>
      <c r="E610" s="31">
        <v>0</v>
      </c>
      <c r="F610" s="31" t="s">
        <v>1254</v>
      </c>
      <c r="G610" s="34"/>
      <c r="I610" s="31" t="str">
        <f t="shared" si="28"/>
        <v/>
      </c>
      <c r="M610" s="31">
        <f t="shared" si="1"/>
        <v>0</v>
      </c>
    </row>
    <row r="611" spans="1:13" ht="13">
      <c r="A611" s="31" t="s">
        <v>1255</v>
      </c>
      <c r="B611" s="31" t="s">
        <v>62</v>
      </c>
      <c r="C611" s="33" t="s">
        <v>1110</v>
      </c>
      <c r="D611" s="31">
        <v>0</v>
      </c>
      <c r="E611" s="31">
        <v>1</v>
      </c>
      <c r="F611" s="31" t="s">
        <v>1256</v>
      </c>
      <c r="G611" s="31">
        <v>0</v>
      </c>
      <c r="H611" s="31">
        <v>1</v>
      </c>
      <c r="I611" s="31" t="e">
        <f t="shared" ca="1" si="28"/>
        <v>#NAME?</v>
      </c>
      <c r="L611" s="31">
        <v>1</v>
      </c>
      <c r="M611" s="31">
        <f t="shared" si="1"/>
        <v>1</v>
      </c>
    </row>
    <row r="612" spans="1:13" ht="13">
      <c r="A612" s="31" t="s">
        <v>1255</v>
      </c>
      <c r="B612" s="31" t="s">
        <v>62</v>
      </c>
      <c r="C612" s="31" t="s">
        <v>1257</v>
      </c>
      <c r="D612" s="31">
        <v>0</v>
      </c>
      <c r="E612" s="31">
        <v>1</v>
      </c>
      <c r="F612" s="31" t="s">
        <v>1258</v>
      </c>
      <c r="G612" s="34"/>
      <c r="I612" s="31" t="str">
        <f t="shared" si="28"/>
        <v/>
      </c>
      <c r="M612" s="31">
        <f t="shared" si="1"/>
        <v>0</v>
      </c>
    </row>
    <row r="613" spans="1:13" ht="13">
      <c r="A613" s="31" t="s">
        <v>1255</v>
      </c>
      <c r="B613" s="31" t="s">
        <v>62</v>
      </c>
      <c r="C613" s="31" t="s">
        <v>1259</v>
      </c>
      <c r="D613" s="31">
        <v>0</v>
      </c>
      <c r="E613" s="31">
        <v>1</v>
      </c>
      <c r="F613" s="31" t="s">
        <v>1260</v>
      </c>
      <c r="G613" s="34"/>
      <c r="I613" s="31" t="str">
        <f t="shared" si="28"/>
        <v/>
      </c>
      <c r="M613" s="31">
        <f t="shared" si="1"/>
        <v>0</v>
      </c>
    </row>
    <row r="614" spans="1:13" ht="13">
      <c r="A614" s="31" t="s">
        <v>1261</v>
      </c>
      <c r="B614" s="31" t="s">
        <v>28</v>
      </c>
      <c r="C614" s="33" t="s">
        <v>1137</v>
      </c>
      <c r="D614" s="31">
        <v>0</v>
      </c>
      <c r="E614" s="31">
        <v>1</v>
      </c>
      <c r="F614" s="31" t="s">
        <v>1262</v>
      </c>
      <c r="G614" s="31">
        <v>0</v>
      </c>
      <c r="H614" s="31">
        <v>1</v>
      </c>
      <c r="I614" s="31" t="e">
        <f t="shared" ca="1" si="28"/>
        <v>#NAME?</v>
      </c>
      <c r="L614" s="31">
        <v>0</v>
      </c>
      <c r="M614" s="31">
        <f t="shared" si="1"/>
        <v>1</v>
      </c>
    </row>
    <row r="615" spans="1:13" ht="13">
      <c r="A615" s="31" t="s">
        <v>1261</v>
      </c>
      <c r="B615" s="31" t="s">
        <v>28</v>
      </c>
      <c r="C615" s="33" t="s">
        <v>1137</v>
      </c>
      <c r="D615" s="31">
        <v>0</v>
      </c>
      <c r="E615" s="31">
        <v>1</v>
      </c>
      <c r="F615" s="31" t="s">
        <v>1263</v>
      </c>
      <c r="G615" s="31">
        <v>0</v>
      </c>
      <c r="H615" s="31">
        <v>1</v>
      </c>
      <c r="I615" s="31" t="e">
        <f t="shared" ca="1" si="28"/>
        <v>#NAME?</v>
      </c>
      <c r="L615" s="31">
        <v>0</v>
      </c>
      <c r="M615" s="31">
        <f t="shared" si="1"/>
        <v>0</v>
      </c>
    </row>
    <row r="616" spans="1:13" ht="13">
      <c r="A616" s="31" t="s">
        <v>1264</v>
      </c>
      <c r="B616" s="31" t="s">
        <v>28</v>
      </c>
      <c r="C616" s="33" t="s">
        <v>1139</v>
      </c>
      <c r="D616" s="31">
        <v>0</v>
      </c>
      <c r="E616" s="31">
        <v>1</v>
      </c>
      <c r="F616" s="31" t="s">
        <v>1265</v>
      </c>
      <c r="G616" s="31">
        <v>0</v>
      </c>
      <c r="H616" s="31">
        <v>1</v>
      </c>
      <c r="I616" s="31" t="e">
        <f t="shared" ca="1" si="28"/>
        <v>#NAME?</v>
      </c>
      <c r="L616" s="31">
        <v>1</v>
      </c>
      <c r="M616" s="31">
        <f t="shared" si="1"/>
        <v>1</v>
      </c>
    </row>
    <row r="617" spans="1:13" ht="13">
      <c r="A617" s="31" t="s">
        <v>1266</v>
      </c>
      <c r="B617" s="31" t="s">
        <v>28</v>
      </c>
      <c r="C617" s="33" t="s">
        <v>1142</v>
      </c>
      <c r="D617" s="31">
        <v>0</v>
      </c>
      <c r="E617" s="31">
        <v>0</v>
      </c>
      <c r="F617" s="31" t="s">
        <v>1267</v>
      </c>
      <c r="G617" s="31">
        <v>0</v>
      </c>
      <c r="H617" s="31">
        <v>1</v>
      </c>
      <c r="I617" s="31" t="e">
        <f t="shared" ca="1" si="28"/>
        <v>#NAME?</v>
      </c>
      <c r="L617" s="31">
        <v>0</v>
      </c>
      <c r="M617" s="31">
        <f t="shared" si="1"/>
        <v>1</v>
      </c>
    </row>
    <row r="618" spans="1:13" ht="13">
      <c r="A618" s="31" t="s">
        <v>1266</v>
      </c>
      <c r="B618" s="31" t="s">
        <v>28</v>
      </c>
      <c r="C618" s="33" t="s">
        <v>1142</v>
      </c>
      <c r="D618" s="31">
        <v>0</v>
      </c>
      <c r="E618" s="31">
        <v>0</v>
      </c>
      <c r="F618" s="31" t="s">
        <v>1268</v>
      </c>
      <c r="G618" s="31">
        <v>0</v>
      </c>
      <c r="H618" s="31">
        <v>1</v>
      </c>
      <c r="I618" s="31" t="e">
        <f t="shared" ca="1" si="28"/>
        <v>#NAME?</v>
      </c>
      <c r="L618" s="31">
        <v>0</v>
      </c>
      <c r="M618" s="31">
        <f t="shared" si="1"/>
        <v>0</v>
      </c>
    </row>
    <row r="619" spans="1:13" ht="13">
      <c r="A619" s="31" t="s">
        <v>1269</v>
      </c>
      <c r="B619" s="31" t="s">
        <v>28</v>
      </c>
      <c r="C619" s="33" t="s">
        <v>1153</v>
      </c>
      <c r="D619" s="31">
        <v>1</v>
      </c>
      <c r="E619" s="31">
        <v>0</v>
      </c>
      <c r="G619" s="34"/>
      <c r="I619" s="31" t="str">
        <f t="shared" si="28"/>
        <v/>
      </c>
      <c r="K619" s="31" t="s">
        <v>1270</v>
      </c>
      <c r="M619" s="31">
        <f t="shared" si="1"/>
        <v>1</v>
      </c>
    </row>
    <row r="620" spans="1:13" ht="13">
      <c r="A620" s="31" t="s">
        <v>1271</v>
      </c>
      <c r="B620" s="31" t="s">
        <v>62</v>
      </c>
      <c r="C620" s="33" t="s">
        <v>1016</v>
      </c>
      <c r="D620" s="31">
        <v>0</v>
      </c>
      <c r="E620" s="31">
        <v>1</v>
      </c>
      <c r="F620" s="31" t="s">
        <v>1272</v>
      </c>
      <c r="G620" s="31">
        <v>0</v>
      </c>
      <c r="H620" s="31">
        <v>1</v>
      </c>
      <c r="I620" s="31" t="e">
        <f t="shared" ca="1" si="28"/>
        <v>#NAME?</v>
      </c>
      <c r="K620" s="31" t="s">
        <v>1273</v>
      </c>
      <c r="L620" s="31">
        <v>0</v>
      </c>
      <c r="M620" s="31">
        <f t="shared" si="1"/>
        <v>1</v>
      </c>
    </row>
    <row r="621" spans="1:13" ht="13">
      <c r="A621" s="31" t="s">
        <v>1274</v>
      </c>
      <c r="B621" s="31" t="s">
        <v>28</v>
      </c>
      <c r="C621" s="33" t="s">
        <v>1144</v>
      </c>
      <c r="D621" s="31">
        <v>0</v>
      </c>
      <c r="E621" s="31">
        <v>1</v>
      </c>
      <c r="F621" s="31" t="s">
        <v>1275</v>
      </c>
      <c r="G621" s="31">
        <v>0</v>
      </c>
      <c r="H621" s="31">
        <v>1</v>
      </c>
      <c r="I621" s="31" t="e">
        <f t="shared" ca="1" si="28"/>
        <v>#NAME?</v>
      </c>
      <c r="K621" s="31" t="s">
        <v>1276</v>
      </c>
      <c r="L621" s="31">
        <v>0</v>
      </c>
      <c r="M621" s="31">
        <f t="shared" si="1"/>
        <v>1</v>
      </c>
    </row>
    <row r="622" spans="1:13" ht="13">
      <c r="A622" s="31" t="s">
        <v>1277</v>
      </c>
      <c r="B622" s="31" t="s">
        <v>28</v>
      </c>
      <c r="C622" s="33" t="s">
        <v>1147</v>
      </c>
      <c r="D622" s="31">
        <v>0</v>
      </c>
      <c r="E622" s="31">
        <v>1</v>
      </c>
      <c r="F622" s="31" t="s">
        <v>1278</v>
      </c>
      <c r="G622" s="31">
        <v>0</v>
      </c>
      <c r="H622" s="31">
        <v>1</v>
      </c>
      <c r="I622" s="31" t="e">
        <f t="shared" ca="1" si="28"/>
        <v>#NAME?</v>
      </c>
      <c r="L622" s="31">
        <v>0</v>
      </c>
      <c r="M622" s="31">
        <f t="shared" si="1"/>
        <v>1</v>
      </c>
    </row>
    <row r="623" spans="1:13" ht="13">
      <c r="A623" s="31" t="s">
        <v>1277</v>
      </c>
      <c r="B623" s="31" t="s">
        <v>28</v>
      </c>
      <c r="C623" s="33" t="s">
        <v>1147</v>
      </c>
      <c r="D623" s="31">
        <v>0</v>
      </c>
      <c r="E623" s="31">
        <v>1</v>
      </c>
      <c r="F623" s="31" t="s">
        <v>1279</v>
      </c>
      <c r="G623" s="31">
        <v>0</v>
      </c>
      <c r="H623" s="31">
        <v>1</v>
      </c>
      <c r="I623" s="31" t="e">
        <f t="shared" ca="1" si="28"/>
        <v>#NAME?</v>
      </c>
      <c r="L623" s="31">
        <v>0</v>
      </c>
      <c r="M623" s="31">
        <f t="shared" si="1"/>
        <v>0</v>
      </c>
    </row>
    <row r="624" spans="1:13" ht="13">
      <c r="A624" s="31" t="s">
        <v>1277</v>
      </c>
      <c r="B624" s="31" t="s">
        <v>28</v>
      </c>
      <c r="C624" s="33" t="s">
        <v>1147</v>
      </c>
      <c r="D624" s="31">
        <v>0</v>
      </c>
      <c r="E624" s="31">
        <v>1</v>
      </c>
      <c r="F624" s="31" t="s">
        <v>1280</v>
      </c>
      <c r="G624" s="31">
        <v>0</v>
      </c>
      <c r="H624" s="31">
        <v>1</v>
      </c>
      <c r="I624" s="31" t="e">
        <f t="shared" ca="1" si="28"/>
        <v>#NAME?</v>
      </c>
      <c r="L624" s="31">
        <v>0</v>
      </c>
      <c r="M624" s="31">
        <f t="shared" si="1"/>
        <v>0</v>
      </c>
    </row>
    <row r="625" spans="1:13" ht="13">
      <c r="A625" s="31" t="s">
        <v>1281</v>
      </c>
      <c r="B625" s="31" t="s">
        <v>62</v>
      </c>
      <c r="C625" s="33" t="s">
        <v>1282</v>
      </c>
      <c r="D625" s="31">
        <v>0</v>
      </c>
      <c r="E625" s="31">
        <v>1</v>
      </c>
      <c r="F625" s="31" t="s">
        <v>1283</v>
      </c>
      <c r="G625" s="31">
        <v>1</v>
      </c>
      <c r="H625" s="31">
        <v>1</v>
      </c>
      <c r="I625" s="31" t="e">
        <f t="shared" ca="1" si="28"/>
        <v>#NAME?</v>
      </c>
      <c r="K625" s="31" t="s">
        <v>1284</v>
      </c>
      <c r="M625" s="31">
        <f t="shared" si="1"/>
        <v>1</v>
      </c>
    </row>
    <row r="626" spans="1:13" ht="13">
      <c r="A626" s="31" t="s">
        <v>1281</v>
      </c>
      <c r="B626" s="31" t="s">
        <v>62</v>
      </c>
      <c r="C626" s="31" t="s">
        <v>1285</v>
      </c>
      <c r="D626" s="31">
        <v>0</v>
      </c>
      <c r="E626" s="31">
        <v>1</v>
      </c>
      <c r="F626" s="31" t="s">
        <v>1286</v>
      </c>
      <c r="G626" s="31">
        <v>1</v>
      </c>
      <c r="H626" s="31">
        <v>1</v>
      </c>
      <c r="M626" s="31">
        <f t="shared" si="1"/>
        <v>0</v>
      </c>
    </row>
    <row r="627" spans="1:13" ht="13">
      <c r="A627" s="31" t="s">
        <v>1281</v>
      </c>
      <c r="B627" s="31" t="s">
        <v>62</v>
      </c>
      <c r="C627" s="31" t="s">
        <v>1287</v>
      </c>
      <c r="D627" s="31">
        <v>0</v>
      </c>
      <c r="E627" s="31">
        <v>1</v>
      </c>
      <c r="F627" s="31" t="s">
        <v>1288</v>
      </c>
      <c r="G627" s="31">
        <v>1</v>
      </c>
      <c r="H627" s="31">
        <v>1</v>
      </c>
      <c r="M627" s="31">
        <f t="shared" si="1"/>
        <v>0</v>
      </c>
    </row>
    <row r="628" spans="1:13" ht="15">
      <c r="A628" s="31" t="s">
        <v>1289</v>
      </c>
      <c r="B628" s="31" t="s">
        <v>28</v>
      </c>
      <c r="C628" s="33" t="s">
        <v>1154</v>
      </c>
      <c r="D628" s="31">
        <v>0</v>
      </c>
      <c r="E628" s="31">
        <v>1</v>
      </c>
      <c r="F628" s="47" t="s">
        <v>686</v>
      </c>
      <c r="G628" s="31">
        <v>0</v>
      </c>
      <c r="H628" s="31">
        <v>1</v>
      </c>
      <c r="I628" s="31" t="e">
        <f t="shared" ref="I628:I928" ca="1" si="34">IF(OR(ISBLANK(G628), ISBLANK(H628)), "", IF(AND(EQ(G628, 1), EQ(H628, 1)), 1, 0))</f>
        <v>#NAME?</v>
      </c>
      <c r="L628" s="31">
        <v>0</v>
      </c>
      <c r="M628" s="31">
        <f t="shared" si="1"/>
        <v>1</v>
      </c>
    </row>
    <row r="629" spans="1:13" ht="14">
      <c r="A629" s="31" t="s">
        <v>1289</v>
      </c>
      <c r="B629" s="31" t="s">
        <v>28</v>
      </c>
      <c r="C629" s="33" t="s">
        <v>1154</v>
      </c>
      <c r="D629" s="31">
        <v>0</v>
      </c>
      <c r="E629" s="31">
        <v>1</v>
      </c>
      <c r="F629" s="48" t="s">
        <v>1290</v>
      </c>
      <c r="G629" s="31">
        <v>0</v>
      </c>
      <c r="H629" s="31">
        <v>1</v>
      </c>
      <c r="I629" s="31" t="e">
        <f t="shared" ca="1" si="34"/>
        <v>#NAME?</v>
      </c>
      <c r="L629" s="31">
        <v>0</v>
      </c>
      <c r="M629" s="31">
        <f t="shared" si="1"/>
        <v>0</v>
      </c>
    </row>
    <row r="630" spans="1:13" ht="14">
      <c r="A630" s="31" t="s">
        <v>1289</v>
      </c>
      <c r="B630" s="31" t="s">
        <v>28</v>
      </c>
      <c r="C630" s="33" t="s">
        <v>1154</v>
      </c>
      <c r="D630" s="31">
        <v>0</v>
      </c>
      <c r="E630" s="31">
        <v>1</v>
      </c>
      <c r="F630" s="48" t="s">
        <v>1291</v>
      </c>
      <c r="G630" s="31">
        <v>0</v>
      </c>
      <c r="H630" s="31">
        <v>1</v>
      </c>
      <c r="I630" s="31" t="e">
        <f t="shared" ca="1" si="34"/>
        <v>#NAME?</v>
      </c>
      <c r="L630" s="31">
        <v>0</v>
      </c>
      <c r="M630" s="31">
        <f t="shared" si="1"/>
        <v>0</v>
      </c>
    </row>
    <row r="631" spans="1:13" ht="13">
      <c r="A631" s="31" t="s">
        <v>1292</v>
      </c>
      <c r="B631" s="31" t="s">
        <v>28</v>
      </c>
      <c r="C631" s="33" t="s">
        <v>1155</v>
      </c>
      <c r="D631" s="31">
        <v>0</v>
      </c>
      <c r="E631" s="31">
        <v>1</v>
      </c>
      <c r="F631" s="31" t="s">
        <v>1293</v>
      </c>
      <c r="G631" s="31">
        <v>0</v>
      </c>
      <c r="H631" s="31">
        <v>1</v>
      </c>
      <c r="I631" s="31" t="e">
        <f t="shared" ca="1" si="34"/>
        <v>#NAME?</v>
      </c>
      <c r="L631" s="31">
        <v>1</v>
      </c>
      <c r="M631" s="31">
        <f t="shared" si="1"/>
        <v>1</v>
      </c>
    </row>
    <row r="632" spans="1:13" ht="13">
      <c r="A632" s="31" t="s">
        <v>1292</v>
      </c>
      <c r="B632" s="31" t="s">
        <v>28</v>
      </c>
      <c r="C632" s="33" t="s">
        <v>1155</v>
      </c>
      <c r="D632" s="31">
        <v>0</v>
      </c>
      <c r="E632" s="31">
        <v>1</v>
      </c>
      <c r="F632" s="31" t="s">
        <v>1294</v>
      </c>
      <c r="G632" s="31">
        <v>0</v>
      </c>
      <c r="H632" s="31">
        <v>1</v>
      </c>
      <c r="I632" s="31" t="e">
        <f t="shared" ca="1" si="34"/>
        <v>#NAME?</v>
      </c>
      <c r="L632" s="31">
        <v>1</v>
      </c>
      <c r="M632" s="31">
        <f t="shared" si="1"/>
        <v>0</v>
      </c>
    </row>
    <row r="633" spans="1:13" ht="13">
      <c r="A633" s="31" t="s">
        <v>1292</v>
      </c>
      <c r="B633" s="31" t="s">
        <v>28</v>
      </c>
      <c r="C633" s="33" t="s">
        <v>1155</v>
      </c>
      <c r="D633" s="31">
        <v>0</v>
      </c>
      <c r="E633" s="31">
        <v>1</v>
      </c>
      <c r="F633" s="31" t="s">
        <v>1295</v>
      </c>
      <c r="G633" s="31">
        <v>0</v>
      </c>
      <c r="H633" s="31">
        <v>1</v>
      </c>
      <c r="I633" s="31" t="e">
        <f t="shared" ca="1" si="34"/>
        <v>#NAME?</v>
      </c>
      <c r="L633" s="31">
        <v>1</v>
      </c>
      <c r="M633" s="31">
        <f t="shared" si="1"/>
        <v>0</v>
      </c>
    </row>
    <row r="634" spans="1:13" ht="13">
      <c r="A634" s="31" t="s">
        <v>1292</v>
      </c>
      <c r="B634" s="31" t="s">
        <v>28</v>
      </c>
      <c r="C634" s="33" t="s">
        <v>1155</v>
      </c>
      <c r="D634" s="31">
        <v>0</v>
      </c>
      <c r="E634" s="31">
        <v>1</v>
      </c>
      <c r="F634" s="31" t="s">
        <v>1296</v>
      </c>
      <c r="G634" s="31">
        <v>0</v>
      </c>
      <c r="H634" s="31">
        <v>1</v>
      </c>
      <c r="I634" s="31" t="e">
        <f t="shared" ca="1" si="34"/>
        <v>#NAME?</v>
      </c>
      <c r="L634" s="31">
        <v>1</v>
      </c>
      <c r="M634" s="31">
        <f t="shared" si="1"/>
        <v>0</v>
      </c>
    </row>
    <row r="635" spans="1:13" ht="13">
      <c r="A635" s="31" t="s">
        <v>1292</v>
      </c>
      <c r="B635" s="31" t="s">
        <v>28</v>
      </c>
      <c r="C635" s="33" t="s">
        <v>1155</v>
      </c>
      <c r="D635" s="31">
        <v>0</v>
      </c>
      <c r="E635" s="31">
        <v>1</v>
      </c>
      <c r="F635" s="31" t="s">
        <v>1297</v>
      </c>
      <c r="G635" s="31">
        <v>0</v>
      </c>
      <c r="H635" s="31">
        <v>1</v>
      </c>
      <c r="I635" s="31" t="e">
        <f t="shared" ca="1" si="34"/>
        <v>#NAME?</v>
      </c>
      <c r="L635" s="31">
        <v>1</v>
      </c>
      <c r="M635" s="31">
        <f t="shared" si="1"/>
        <v>0</v>
      </c>
    </row>
    <row r="636" spans="1:13" ht="13">
      <c r="A636" s="49" t="s">
        <v>1298</v>
      </c>
      <c r="B636" s="31" t="s">
        <v>28</v>
      </c>
      <c r="C636" s="33" t="s">
        <v>1207</v>
      </c>
      <c r="D636" s="31">
        <v>0</v>
      </c>
      <c r="E636" s="31">
        <v>1</v>
      </c>
      <c r="F636" s="31" t="s">
        <v>1299</v>
      </c>
      <c r="G636" s="31">
        <v>0</v>
      </c>
      <c r="H636" s="31">
        <v>1</v>
      </c>
      <c r="I636" s="31" t="e">
        <f t="shared" ca="1" si="34"/>
        <v>#NAME?</v>
      </c>
      <c r="L636" s="31">
        <v>0</v>
      </c>
      <c r="M636" s="31">
        <f t="shared" si="1"/>
        <v>1</v>
      </c>
    </row>
    <row r="637" spans="1:13" ht="13">
      <c r="A637" s="49" t="s">
        <v>1298</v>
      </c>
      <c r="B637" s="31" t="s">
        <v>28</v>
      </c>
      <c r="C637" s="31" t="s">
        <v>1300</v>
      </c>
      <c r="D637" s="31">
        <v>0</v>
      </c>
      <c r="E637" s="31">
        <v>1</v>
      </c>
      <c r="F637" s="31" t="s">
        <v>1301</v>
      </c>
      <c r="G637" s="31">
        <v>0</v>
      </c>
      <c r="H637" s="31">
        <v>1</v>
      </c>
      <c r="I637" s="31" t="e">
        <f t="shared" ca="1" si="34"/>
        <v>#NAME?</v>
      </c>
      <c r="L637" s="31">
        <v>0</v>
      </c>
      <c r="M637" s="31">
        <f t="shared" si="1"/>
        <v>0</v>
      </c>
    </row>
    <row r="638" spans="1:13" ht="13">
      <c r="A638" s="31" t="s">
        <v>1302</v>
      </c>
      <c r="B638" s="31" t="s">
        <v>28</v>
      </c>
      <c r="C638" s="33" t="s">
        <v>1159</v>
      </c>
      <c r="D638" s="31">
        <v>0</v>
      </c>
      <c r="E638" s="31">
        <v>0</v>
      </c>
      <c r="F638" s="31" t="s">
        <v>1303</v>
      </c>
      <c r="G638" s="31">
        <v>0</v>
      </c>
      <c r="H638" s="31">
        <v>1</v>
      </c>
      <c r="I638" s="31" t="e">
        <f t="shared" ca="1" si="34"/>
        <v>#NAME?</v>
      </c>
      <c r="K638" s="31" t="s">
        <v>1304</v>
      </c>
      <c r="M638" s="31">
        <f t="shared" si="1"/>
        <v>1</v>
      </c>
    </row>
    <row r="639" spans="1:13" ht="13">
      <c r="A639" s="49" t="s">
        <v>1305</v>
      </c>
      <c r="B639" s="31" t="s">
        <v>28</v>
      </c>
      <c r="C639" s="33" t="s">
        <v>1210</v>
      </c>
      <c r="D639" s="31">
        <v>0</v>
      </c>
      <c r="E639" s="31">
        <v>0</v>
      </c>
      <c r="F639" s="31" t="s">
        <v>1306</v>
      </c>
      <c r="G639" s="31">
        <v>0</v>
      </c>
      <c r="H639" s="31">
        <v>1</v>
      </c>
      <c r="I639" s="31" t="e">
        <f t="shared" ca="1" si="34"/>
        <v>#NAME?</v>
      </c>
      <c r="L639" s="31">
        <v>0</v>
      </c>
      <c r="M639" s="31">
        <f t="shared" si="1"/>
        <v>1</v>
      </c>
    </row>
    <row r="640" spans="1:13" ht="13">
      <c r="A640" s="49" t="s">
        <v>1307</v>
      </c>
      <c r="B640" s="31" t="s">
        <v>28</v>
      </c>
      <c r="C640" s="33" t="s">
        <v>1211</v>
      </c>
      <c r="D640" s="31">
        <v>1</v>
      </c>
      <c r="E640" s="31">
        <v>0</v>
      </c>
      <c r="G640" s="34"/>
      <c r="I640" s="31" t="str">
        <f t="shared" si="34"/>
        <v/>
      </c>
      <c r="M640" s="31">
        <f t="shared" si="1"/>
        <v>1</v>
      </c>
    </row>
    <row r="641" spans="1:13" ht="13">
      <c r="A641" s="49" t="s">
        <v>1308</v>
      </c>
      <c r="B641" s="31" t="s">
        <v>28</v>
      </c>
      <c r="C641" s="33" t="s">
        <v>1309</v>
      </c>
      <c r="D641" s="31">
        <v>0</v>
      </c>
      <c r="E641" s="31">
        <v>0</v>
      </c>
      <c r="F641" s="31" t="s">
        <v>1310</v>
      </c>
      <c r="G641" s="31">
        <v>0</v>
      </c>
      <c r="H641" s="31">
        <v>1</v>
      </c>
      <c r="I641" s="31" t="e">
        <f t="shared" ca="1" si="34"/>
        <v>#NAME?</v>
      </c>
      <c r="L641" s="31">
        <v>0</v>
      </c>
      <c r="M641" s="31">
        <f t="shared" si="1"/>
        <v>1</v>
      </c>
    </row>
    <row r="642" spans="1:13" ht="13">
      <c r="A642" s="49" t="s">
        <v>1311</v>
      </c>
      <c r="B642" s="31" t="s">
        <v>1312</v>
      </c>
      <c r="C642" s="33" t="s">
        <v>1313</v>
      </c>
      <c r="D642" s="31">
        <v>0</v>
      </c>
      <c r="E642" s="31">
        <v>0</v>
      </c>
      <c r="F642" s="31" t="s">
        <v>1314</v>
      </c>
      <c r="G642" s="31">
        <v>1</v>
      </c>
      <c r="H642" s="31">
        <v>0</v>
      </c>
      <c r="I642" s="31" t="e">
        <f t="shared" ca="1" si="34"/>
        <v>#NAME?</v>
      </c>
      <c r="K642" s="31" t="s">
        <v>1315</v>
      </c>
      <c r="M642" s="31">
        <f t="shared" si="1"/>
        <v>1</v>
      </c>
    </row>
    <row r="643" spans="1:13" ht="13">
      <c r="A643" s="31" t="s">
        <v>1316</v>
      </c>
      <c r="B643" s="31" t="s">
        <v>62</v>
      </c>
      <c r="C643" s="33" t="s">
        <v>976</v>
      </c>
      <c r="D643" s="31">
        <v>0</v>
      </c>
      <c r="E643" s="31">
        <v>1</v>
      </c>
      <c r="F643" s="31" t="s">
        <v>1317</v>
      </c>
      <c r="G643" s="31">
        <v>0</v>
      </c>
      <c r="H643" s="31">
        <v>1</v>
      </c>
      <c r="I643" s="31" t="e">
        <f t="shared" ca="1" si="34"/>
        <v>#NAME?</v>
      </c>
      <c r="L643" s="31">
        <v>0</v>
      </c>
      <c r="M643" s="31">
        <f t="shared" si="1"/>
        <v>1</v>
      </c>
    </row>
    <row r="644" spans="1:13" ht="13">
      <c r="A644" s="31" t="s">
        <v>1316</v>
      </c>
      <c r="B644" s="31" t="s">
        <v>62</v>
      </c>
      <c r="C644" s="31" t="s">
        <v>1318</v>
      </c>
      <c r="D644" s="31">
        <v>0</v>
      </c>
      <c r="E644" s="31">
        <v>1</v>
      </c>
      <c r="F644" s="31" t="s">
        <v>1319</v>
      </c>
      <c r="G644" s="31">
        <v>0</v>
      </c>
      <c r="H644" s="31">
        <v>1</v>
      </c>
      <c r="I644" s="31" t="e">
        <f t="shared" ca="1" si="34"/>
        <v>#NAME?</v>
      </c>
      <c r="M644" s="31">
        <f t="shared" si="1"/>
        <v>0</v>
      </c>
    </row>
    <row r="645" spans="1:13" ht="13">
      <c r="A645" s="31" t="s">
        <v>1320</v>
      </c>
      <c r="B645" s="31" t="s">
        <v>1312</v>
      </c>
      <c r="C645" s="33" t="s">
        <v>1321</v>
      </c>
      <c r="D645" s="31">
        <v>0</v>
      </c>
      <c r="E645" s="31">
        <v>0</v>
      </c>
      <c r="F645" s="31" t="s">
        <v>201</v>
      </c>
      <c r="G645" s="31">
        <v>1</v>
      </c>
      <c r="H645" s="31">
        <v>1</v>
      </c>
      <c r="I645" s="31" t="e">
        <f t="shared" ca="1" si="34"/>
        <v>#NAME?</v>
      </c>
      <c r="L645" s="31">
        <v>1</v>
      </c>
      <c r="M645" s="31">
        <f t="shared" si="1"/>
        <v>1</v>
      </c>
    </row>
    <row r="646" spans="1:13" ht="13">
      <c r="A646" s="31" t="s">
        <v>1322</v>
      </c>
      <c r="B646" s="31" t="s">
        <v>62</v>
      </c>
      <c r="C646" s="33" t="s">
        <v>985</v>
      </c>
      <c r="D646" s="31">
        <v>0</v>
      </c>
      <c r="E646" s="31">
        <v>0</v>
      </c>
      <c r="F646" s="31" t="s">
        <v>1323</v>
      </c>
      <c r="G646" s="31">
        <v>0</v>
      </c>
      <c r="H646" s="31">
        <v>1</v>
      </c>
      <c r="I646" s="31" t="e">
        <f t="shared" ca="1" si="34"/>
        <v>#NAME?</v>
      </c>
      <c r="L646" s="31">
        <v>0</v>
      </c>
      <c r="M646" s="31">
        <f t="shared" si="1"/>
        <v>1</v>
      </c>
    </row>
    <row r="647" spans="1:13" ht="13">
      <c r="A647" s="31" t="s">
        <v>1322</v>
      </c>
      <c r="B647" s="31" t="s">
        <v>62</v>
      </c>
      <c r="C647" s="31" t="s">
        <v>1324</v>
      </c>
      <c r="D647" s="31">
        <v>0</v>
      </c>
      <c r="E647" s="31">
        <v>0</v>
      </c>
      <c r="F647" s="31" t="s">
        <v>1325</v>
      </c>
      <c r="G647" s="34"/>
      <c r="I647" s="31" t="str">
        <f t="shared" si="34"/>
        <v/>
      </c>
      <c r="M647" s="31">
        <f t="shared" si="1"/>
        <v>0</v>
      </c>
    </row>
    <row r="648" spans="1:13" ht="13">
      <c r="A648" s="31" t="s">
        <v>1326</v>
      </c>
      <c r="B648" s="31" t="s">
        <v>93</v>
      </c>
      <c r="C648" s="33" t="s">
        <v>988</v>
      </c>
      <c r="D648" s="31">
        <v>0</v>
      </c>
      <c r="F648" s="31" t="s">
        <v>201</v>
      </c>
      <c r="G648" s="31">
        <v>1</v>
      </c>
      <c r="H648" s="31">
        <v>1</v>
      </c>
      <c r="I648" s="31" t="e">
        <f t="shared" ca="1" si="34"/>
        <v>#NAME?</v>
      </c>
      <c r="L648" s="31">
        <v>0</v>
      </c>
      <c r="M648" s="31">
        <f t="shared" si="1"/>
        <v>1</v>
      </c>
    </row>
    <row r="649" spans="1:13" ht="13">
      <c r="A649" s="31" t="s">
        <v>1327</v>
      </c>
      <c r="B649" s="31" t="s">
        <v>62</v>
      </c>
      <c r="C649" s="33" t="s">
        <v>1328</v>
      </c>
      <c r="D649" s="31">
        <v>0</v>
      </c>
      <c r="E649" s="31">
        <v>1</v>
      </c>
      <c r="F649" s="31" t="s">
        <v>1329</v>
      </c>
      <c r="G649" s="31">
        <v>0</v>
      </c>
      <c r="H649" s="31">
        <v>1</v>
      </c>
      <c r="I649" s="31" t="e">
        <f t="shared" ca="1" si="34"/>
        <v>#NAME?</v>
      </c>
      <c r="M649" s="31">
        <f t="shared" si="1"/>
        <v>1</v>
      </c>
    </row>
    <row r="650" spans="1:13" ht="13">
      <c r="A650" s="31" t="s">
        <v>1330</v>
      </c>
      <c r="B650" s="31" t="s">
        <v>62</v>
      </c>
      <c r="C650" s="33" t="s">
        <v>942</v>
      </c>
      <c r="D650" s="31">
        <v>0</v>
      </c>
      <c r="E650" s="31">
        <v>0</v>
      </c>
      <c r="F650" s="31" t="s">
        <v>1331</v>
      </c>
      <c r="G650" s="31">
        <v>0</v>
      </c>
      <c r="H650" s="31">
        <v>1</v>
      </c>
      <c r="I650" s="31" t="e">
        <f t="shared" ca="1" si="34"/>
        <v>#NAME?</v>
      </c>
      <c r="L650" s="31">
        <v>0</v>
      </c>
      <c r="M650" s="31">
        <f t="shared" si="1"/>
        <v>1</v>
      </c>
    </row>
    <row r="651" spans="1:13" ht="13">
      <c r="A651" s="31" t="s">
        <v>1330</v>
      </c>
      <c r="B651" s="31" t="s">
        <v>62</v>
      </c>
      <c r="C651" s="31" t="s">
        <v>1332</v>
      </c>
      <c r="D651" s="31">
        <v>0</v>
      </c>
      <c r="E651" s="31">
        <v>0</v>
      </c>
      <c r="F651" s="31" t="s">
        <v>1333</v>
      </c>
      <c r="G651" s="31">
        <v>0</v>
      </c>
      <c r="H651" s="31">
        <v>1</v>
      </c>
      <c r="I651" s="31" t="e">
        <f t="shared" ca="1" si="34"/>
        <v>#NAME?</v>
      </c>
      <c r="M651" s="31">
        <f t="shared" si="1"/>
        <v>0</v>
      </c>
    </row>
    <row r="652" spans="1:13" ht="13">
      <c r="A652" s="31" t="s">
        <v>1330</v>
      </c>
      <c r="B652" s="31" t="s">
        <v>62</v>
      </c>
      <c r="C652" s="31" t="s">
        <v>1334</v>
      </c>
      <c r="D652" s="31">
        <v>0</v>
      </c>
      <c r="E652" s="31">
        <v>0</v>
      </c>
      <c r="F652" s="31" t="s">
        <v>1335</v>
      </c>
      <c r="G652" s="31">
        <v>0</v>
      </c>
      <c r="H652" s="31">
        <v>1</v>
      </c>
      <c r="I652" s="31" t="e">
        <f t="shared" ca="1" si="34"/>
        <v>#NAME?</v>
      </c>
      <c r="M652" s="31">
        <f t="shared" si="1"/>
        <v>0</v>
      </c>
    </row>
    <row r="653" spans="1:13" ht="13">
      <c r="A653" s="31" t="s">
        <v>1336</v>
      </c>
      <c r="B653" s="31" t="s">
        <v>62</v>
      </c>
      <c r="C653" s="33" t="s">
        <v>1003</v>
      </c>
      <c r="D653" s="31">
        <v>0</v>
      </c>
      <c r="E653" s="31">
        <v>0</v>
      </c>
      <c r="F653" s="31" t="s">
        <v>1337</v>
      </c>
      <c r="G653" s="31">
        <v>0</v>
      </c>
      <c r="H653" s="31">
        <v>1</v>
      </c>
      <c r="I653" s="31" t="e">
        <f t="shared" ca="1" si="34"/>
        <v>#NAME?</v>
      </c>
      <c r="L653" s="31">
        <v>1</v>
      </c>
      <c r="M653" s="31">
        <f t="shared" si="1"/>
        <v>1</v>
      </c>
    </row>
    <row r="654" spans="1:13" ht="13">
      <c r="A654" s="31" t="s">
        <v>1336</v>
      </c>
      <c r="B654" s="31" t="s">
        <v>62</v>
      </c>
      <c r="C654" s="31" t="s">
        <v>1005</v>
      </c>
      <c r="D654" s="31">
        <v>0</v>
      </c>
      <c r="E654" s="31">
        <v>0</v>
      </c>
      <c r="F654" s="31" t="s">
        <v>1338</v>
      </c>
      <c r="G654" s="31">
        <v>0</v>
      </c>
      <c r="H654" s="31">
        <v>1</v>
      </c>
      <c r="I654" s="31" t="e">
        <f t="shared" ca="1" si="34"/>
        <v>#NAME?</v>
      </c>
      <c r="M654" s="31">
        <f t="shared" si="1"/>
        <v>0</v>
      </c>
    </row>
    <row r="655" spans="1:13" ht="13">
      <c r="A655" s="31" t="s">
        <v>1336</v>
      </c>
      <c r="B655" s="31" t="s">
        <v>62</v>
      </c>
      <c r="C655" s="31" t="s">
        <v>1339</v>
      </c>
      <c r="D655" s="31">
        <v>0</v>
      </c>
      <c r="E655" s="31">
        <v>0</v>
      </c>
      <c r="F655" s="31" t="s">
        <v>1340</v>
      </c>
      <c r="G655" s="31">
        <v>0</v>
      </c>
      <c r="H655" s="31">
        <v>1</v>
      </c>
      <c r="I655" s="31" t="e">
        <f t="shared" ca="1" si="34"/>
        <v>#NAME?</v>
      </c>
      <c r="M655" s="31">
        <f t="shared" si="1"/>
        <v>0</v>
      </c>
    </row>
    <row r="656" spans="1:13" ht="13">
      <c r="A656" s="31" t="s">
        <v>1336</v>
      </c>
      <c r="B656" s="31" t="s">
        <v>62</v>
      </c>
      <c r="C656" s="31" t="s">
        <v>1341</v>
      </c>
      <c r="D656" s="31">
        <v>0</v>
      </c>
      <c r="E656" s="31">
        <v>0</v>
      </c>
      <c r="F656" s="31" t="s">
        <v>1342</v>
      </c>
      <c r="G656" s="31">
        <v>0</v>
      </c>
      <c r="H656" s="31">
        <v>1</v>
      </c>
      <c r="I656" s="31" t="e">
        <f t="shared" ca="1" si="34"/>
        <v>#NAME?</v>
      </c>
      <c r="M656" s="31">
        <f t="shared" si="1"/>
        <v>0</v>
      </c>
    </row>
    <row r="657" spans="1:13" ht="13">
      <c r="A657" s="31" t="s">
        <v>1336</v>
      </c>
      <c r="B657" s="31" t="s">
        <v>62</v>
      </c>
      <c r="C657" s="31" t="s">
        <v>1343</v>
      </c>
      <c r="D657" s="31">
        <v>0</v>
      </c>
      <c r="E657" s="31">
        <v>0</v>
      </c>
      <c r="F657" s="31" t="s">
        <v>1344</v>
      </c>
      <c r="G657" s="31">
        <v>0</v>
      </c>
      <c r="H657" s="31">
        <v>1</v>
      </c>
      <c r="I657" s="31" t="e">
        <f t="shared" ca="1" si="34"/>
        <v>#NAME?</v>
      </c>
      <c r="M657" s="31">
        <f t="shared" si="1"/>
        <v>0</v>
      </c>
    </row>
    <row r="658" spans="1:13" ht="13">
      <c r="A658" s="34" t="s">
        <v>1345</v>
      </c>
      <c r="B658" s="31" t="s">
        <v>62</v>
      </c>
      <c r="C658" s="33" t="s">
        <v>970</v>
      </c>
      <c r="D658" s="31">
        <v>0</v>
      </c>
      <c r="E658" s="31">
        <v>1</v>
      </c>
      <c r="F658" s="31" t="s">
        <v>1346</v>
      </c>
      <c r="G658" s="31">
        <v>0</v>
      </c>
      <c r="H658" s="31">
        <v>1</v>
      </c>
      <c r="I658" s="31" t="e">
        <f t="shared" ca="1" si="34"/>
        <v>#NAME?</v>
      </c>
      <c r="J658" s="33" t="s">
        <v>1347</v>
      </c>
      <c r="K658" s="31" t="s">
        <v>1348</v>
      </c>
      <c r="L658" s="31">
        <v>1</v>
      </c>
      <c r="M658" s="31">
        <f t="shared" si="1"/>
        <v>1</v>
      </c>
    </row>
    <row r="659" spans="1:13" ht="13">
      <c r="A659" s="34" t="s">
        <v>1349</v>
      </c>
      <c r="B659" s="31" t="s">
        <v>62</v>
      </c>
      <c r="C659" s="33" t="s">
        <v>974</v>
      </c>
      <c r="D659" s="31">
        <v>0</v>
      </c>
      <c r="E659" s="31">
        <v>1</v>
      </c>
      <c r="F659" s="31" t="s">
        <v>1350</v>
      </c>
      <c r="G659" s="31">
        <v>0</v>
      </c>
      <c r="H659" s="31">
        <v>1</v>
      </c>
      <c r="I659" s="31" t="e">
        <f t="shared" ca="1" si="34"/>
        <v>#NAME?</v>
      </c>
      <c r="L659" s="31">
        <v>1</v>
      </c>
      <c r="M659" s="31">
        <f t="shared" si="1"/>
        <v>1</v>
      </c>
    </row>
    <row r="660" spans="1:13" ht="13">
      <c r="A660" s="31" t="s">
        <v>1351</v>
      </c>
      <c r="B660" s="31" t="s">
        <v>62</v>
      </c>
      <c r="C660" s="33" t="s">
        <v>981</v>
      </c>
      <c r="D660" s="31">
        <v>0</v>
      </c>
      <c r="E660" s="31">
        <v>1</v>
      </c>
      <c r="F660" s="31" t="s">
        <v>1352</v>
      </c>
      <c r="G660" s="31">
        <v>0</v>
      </c>
      <c r="H660" s="31">
        <v>1</v>
      </c>
      <c r="I660" s="31" t="e">
        <f t="shared" ca="1" si="34"/>
        <v>#NAME?</v>
      </c>
      <c r="K660" s="31" t="s">
        <v>1348</v>
      </c>
      <c r="L660" s="31">
        <v>1</v>
      </c>
      <c r="M660" s="31">
        <f t="shared" si="1"/>
        <v>1</v>
      </c>
    </row>
    <row r="661" spans="1:13" ht="13">
      <c r="A661" s="31" t="s">
        <v>1351</v>
      </c>
      <c r="B661" s="31" t="s">
        <v>62</v>
      </c>
      <c r="C661" s="31" t="s">
        <v>1353</v>
      </c>
      <c r="D661" s="31">
        <v>0</v>
      </c>
      <c r="E661" s="31">
        <v>1</v>
      </c>
      <c r="F661" s="31" t="s">
        <v>1354</v>
      </c>
      <c r="G661" s="31">
        <v>0</v>
      </c>
      <c r="H661" s="31">
        <v>1</v>
      </c>
      <c r="I661" s="31" t="e">
        <f t="shared" ca="1" si="34"/>
        <v>#NAME?</v>
      </c>
      <c r="M661" s="31">
        <f t="shared" si="1"/>
        <v>0</v>
      </c>
    </row>
    <row r="662" spans="1:13" ht="13">
      <c r="A662" s="34" t="s">
        <v>1355</v>
      </c>
      <c r="B662" s="31" t="s">
        <v>62</v>
      </c>
      <c r="C662" s="33" t="s">
        <v>982</v>
      </c>
      <c r="D662" s="31">
        <v>0</v>
      </c>
      <c r="E662" s="31">
        <v>0</v>
      </c>
      <c r="F662" s="31" t="s">
        <v>1356</v>
      </c>
      <c r="G662" s="31">
        <v>0</v>
      </c>
      <c r="H662" s="31">
        <v>1</v>
      </c>
      <c r="I662" s="31" t="e">
        <f t="shared" ca="1" si="34"/>
        <v>#NAME?</v>
      </c>
      <c r="L662" s="31">
        <v>1</v>
      </c>
      <c r="M662" s="31">
        <f t="shared" si="1"/>
        <v>1</v>
      </c>
    </row>
    <row r="663" spans="1:13" ht="13">
      <c r="A663" s="34" t="s">
        <v>1355</v>
      </c>
      <c r="B663" s="31" t="s">
        <v>62</v>
      </c>
      <c r="C663" s="31" t="s">
        <v>1357</v>
      </c>
      <c r="D663" s="31">
        <v>0</v>
      </c>
      <c r="E663" s="31">
        <v>0</v>
      </c>
      <c r="F663" s="31" t="s">
        <v>1358</v>
      </c>
      <c r="G663" s="31">
        <v>0</v>
      </c>
      <c r="H663" s="31">
        <v>1</v>
      </c>
      <c r="I663" s="31" t="e">
        <f t="shared" ca="1" si="34"/>
        <v>#NAME?</v>
      </c>
      <c r="M663" s="31">
        <f t="shared" si="1"/>
        <v>0</v>
      </c>
    </row>
    <row r="664" spans="1:13" ht="13">
      <c r="A664" s="34" t="s">
        <v>1355</v>
      </c>
      <c r="B664" s="31" t="s">
        <v>62</v>
      </c>
      <c r="C664" s="31" t="s">
        <v>1359</v>
      </c>
      <c r="D664" s="31">
        <v>0</v>
      </c>
      <c r="E664" s="31">
        <v>0</v>
      </c>
      <c r="F664" s="31" t="s">
        <v>1360</v>
      </c>
      <c r="G664" s="31">
        <v>0</v>
      </c>
      <c r="H664" s="31">
        <v>1</v>
      </c>
      <c r="I664" s="31" t="e">
        <f t="shared" ca="1" si="34"/>
        <v>#NAME?</v>
      </c>
      <c r="M664" s="31">
        <f t="shared" si="1"/>
        <v>0</v>
      </c>
    </row>
    <row r="665" spans="1:13" ht="13">
      <c r="A665" s="34" t="s">
        <v>1355</v>
      </c>
      <c r="B665" s="31" t="s">
        <v>62</v>
      </c>
      <c r="C665" s="31" t="s">
        <v>1361</v>
      </c>
      <c r="D665" s="31">
        <v>0</v>
      </c>
      <c r="E665" s="31">
        <v>0</v>
      </c>
      <c r="F665" s="31" t="s">
        <v>1362</v>
      </c>
      <c r="G665" s="31">
        <v>0</v>
      </c>
      <c r="H665" s="31">
        <v>1</v>
      </c>
      <c r="I665" s="31" t="e">
        <f t="shared" ca="1" si="34"/>
        <v>#NAME?</v>
      </c>
      <c r="M665" s="31">
        <f t="shared" si="1"/>
        <v>0</v>
      </c>
    </row>
    <row r="666" spans="1:13" ht="13">
      <c r="A666" s="34" t="s">
        <v>1355</v>
      </c>
      <c r="B666" s="31" t="s">
        <v>62</v>
      </c>
      <c r="C666" s="31" t="s">
        <v>1363</v>
      </c>
      <c r="D666" s="31">
        <v>0</v>
      </c>
      <c r="E666" s="31">
        <v>0</v>
      </c>
      <c r="F666" s="31" t="s">
        <v>1364</v>
      </c>
      <c r="G666" s="31">
        <v>0</v>
      </c>
      <c r="H666" s="31">
        <v>1</v>
      </c>
      <c r="I666" s="31" t="e">
        <f t="shared" ca="1" si="34"/>
        <v>#NAME?</v>
      </c>
      <c r="M666" s="31">
        <f t="shared" si="1"/>
        <v>0</v>
      </c>
    </row>
    <row r="667" spans="1:13" ht="13">
      <c r="A667" s="34" t="s">
        <v>1365</v>
      </c>
      <c r="B667" s="31" t="s">
        <v>62</v>
      </c>
      <c r="C667" s="33" t="s">
        <v>984</v>
      </c>
      <c r="D667" s="31">
        <v>0</v>
      </c>
      <c r="E667" s="31">
        <v>0</v>
      </c>
      <c r="F667" s="31" t="s">
        <v>1366</v>
      </c>
      <c r="G667" s="31">
        <v>0</v>
      </c>
      <c r="H667" s="31">
        <v>1</v>
      </c>
      <c r="I667" s="31" t="e">
        <f t="shared" ca="1" si="34"/>
        <v>#NAME?</v>
      </c>
      <c r="K667" s="31" t="s">
        <v>677</v>
      </c>
      <c r="L667" s="31">
        <v>0</v>
      </c>
      <c r="M667" s="31">
        <f t="shared" si="1"/>
        <v>1</v>
      </c>
    </row>
    <row r="668" spans="1:13" ht="13">
      <c r="A668" s="46" t="s">
        <v>1367</v>
      </c>
      <c r="B668" s="31" t="s">
        <v>62</v>
      </c>
      <c r="C668" s="33" t="s">
        <v>1019</v>
      </c>
      <c r="D668" s="31">
        <v>0</v>
      </c>
      <c r="E668" s="31">
        <v>1</v>
      </c>
      <c r="F668" s="31" t="s">
        <v>1368</v>
      </c>
      <c r="G668" s="31">
        <v>0</v>
      </c>
      <c r="H668" s="31">
        <v>1</v>
      </c>
      <c r="I668" s="31" t="e">
        <f t="shared" ca="1" si="34"/>
        <v>#NAME?</v>
      </c>
      <c r="L668" s="31">
        <v>1</v>
      </c>
      <c r="M668" s="31">
        <f t="shared" si="1"/>
        <v>1</v>
      </c>
    </row>
    <row r="669" spans="1:13" ht="13">
      <c r="A669" s="46" t="s">
        <v>1367</v>
      </c>
      <c r="B669" s="31" t="s">
        <v>62</v>
      </c>
      <c r="C669" s="31" t="s">
        <v>1369</v>
      </c>
      <c r="D669" s="31">
        <v>0</v>
      </c>
      <c r="E669" s="31">
        <v>1</v>
      </c>
      <c r="F669" s="31" t="s">
        <v>1370</v>
      </c>
      <c r="G669" s="31">
        <v>0</v>
      </c>
      <c r="H669" s="31">
        <v>1</v>
      </c>
      <c r="I669" s="31" t="e">
        <f t="shared" ca="1" si="34"/>
        <v>#NAME?</v>
      </c>
      <c r="M669" s="31">
        <f t="shared" si="1"/>
        <v>0</v>
      </c>
    </row>
    <row r="670" spans="1:13" ht="13">
      <c r="A670" s="46" t="s">
        <v>1371</v>
      </c>
      <c r="B670" s="31" t="s">
        <v>62</v>
      </c>
      <c r="C670" s="33" t="s">
        <v>1021</v>
      </c>
      <c r="D670" s="31">
        <v>0</v>
      </c>
      <c r="E670" s="31">
        <v>0</v>
      </c>
      <c r="F670" s="31" t="s">
        <v>1372</v>
      </c>
      <c r="G670" s="31">
        <v>0</v>
      </c>
      <c r="H670" s="31">
        <v>1</v>
      </c>
      <c r="I670" s="31" t="e">
        <f t="shared" ca="1" si="34"/>
        <v>#NAME?</v>
      </c>
      <c r="L670" s="31">
        <v>1</v>
      </c>
      <c r="M670" s="31">
        <f t="shared" si="1"/>
        <v>1</v>
      </c>
    </row>
    <row r="671" spans="1:13" ht="13">
      <c r="A671" s="46" t="s">
        <v>1371</v>
      </c>
      <c r="B671" s="31" t="s">
        <v>62</v>
      </c>
      <c r="C671" s="31" t="s">
        <v>1373</v>
      </c>
      <c r="D671" s="31">
        <v>0</v>
      </c>
      <c r="E671" s="31">
        <v>0</v>
      </c>
      <c r="F671" s="31" t="s">
        <v>1374</v>
      </c>
      <c r="G671" s="31">
        <v>0</v>
      </c>
      <c r="H671" s="31">
        <v>1</v>
      </c>
      <c r="I671" s="31" t="e">
        <f t="shared" ca="1" si="34"/>
        <v>#NAME?</v>
      </c>
      <c r="M671" s="31">
        <f t="shared" si="1"/>
        <v>0</v>
      </c>
    </row>
    <row r="672" spans="1:13" ht="13">
      <c r="A672" s="46" t="s">
        <v>1375</v>
      </c>
      <c r="B672" s="31" t="s">
        <v>62</v>
      </c>
      <c r="C672" s="33" t="s">
        <v>1020</v>
      </c>
      <c r="D672" s="31">
        <v>0</v>
      </c>
      <c r="E672" s="31">
        <v>0</v>
      </c>
      <c r="F672" s="31" t="s">
        <v>1376</v>
      </c>
      <c r="G672" s="31">
        <v>0</v>
      </c>
      <c r="H672" s="31">
        <v>1</v>
      </c>
      <c r="I672" s="31" t="e">
        <f t="shared" ca="1" si="34"/>
        <v>#NAME?</v>
      </c>
      <c r="L672" s="31">
        <v>0</v>
      </c>
      <c r="M672" s="31">
        <f t="shared" si="1"/>
        <v>1</v>
      </c>
    </row>
    <row r="673" spans="1:13" ht="13">
      <c r="A673" s="46" t="s">
        <v>1375</v>
      </c>
      <c r="B673" s="31" t="s">
        <v>62</v>
      </c>
      <c r="C673" s="31" t="s">
        <v>1377</v>
      </c>
      <c r="D673" s="31">
        <v>0</v>
      </c>
      <c r="E673" s="31">
        <v>0</v>
      </c>
      <c r="F673" s="31" t="s">
        <v>1378</v>
      </c>
      <c r="G673" s="31">
        <v>0</v>
      </c>
      <c r="H673" s="31">
        <v>1</v>
      </c>
      <c r="I673" s="31" t="e">
        <f t="shared" ca="1" si="34"/>
        <v>#NAME?</v>
      </c>
      <c r="M673" s="31">
        <f t="shared" si="1"/>
        <v>0</v>
      </c>
    </row>
    <row r="674" spans="1:13" ht="13">
      <c r="A674" s="46" t="s">
        <v>1375</v>
      </c>
      <c r="B674" s="31" t="s">
        <v>62</v>
      </c>
      <c r="C674" s="31" t="s">
        <v>1379</v>
      </c>
      <c r="D674" s="31">
        <v>0</v>
      </c>
      <c r="E674" s="31">
        <v>0</v>
      </c>
      <c r="F674" s="31" t="s">
        <v>1380</v>
      </c>
      <c r="G674" s="31">
        <v>0</v>
      </c>
      <c r="H674" s="31">
        <v>1</v>
      </c>
      <c r="I674" s="31" t="e">
        <f t="shared" ca="1" si="34"/>
        <v>#NAME?</v>
      </c>
      <c r="M674" s="31">
        <f t="shared" si="1"/>
        <v>0</v>
      </c>
    </row>
    <row r="675" spans="1:13" ht="13">
      <c r="A675" s="46" t="s">
        <v>1375</v>
      </c>
      <c r="B675" s="31" t="s">
        <v>62</v>
      </c>
      <c r="C675" s="31" t="s">
        <v>1381</v>
      </c>
      <c r="D675" s="31">
        <v>0</v>
      </c>
      <c r="E675" s="31">
        <v>0</v>
      </c>
      <c r="F675" s="31" t="s">
        <v>1382</v>
      </c>
      <c r="G675" s="31">
        <v>0</v>
      </c>
      <c r="H675" s="31">
        <v>1</v>
      </c>
      <c r="I675" s="31" t="e">
        <f t="shared" ca="1" si="34"/>
        <v>#NAME?</v>
      </c>
      <c r="M675" s="31">
        <f t="shared" si="1"/>
        <v>0</v>
      </c>
    </row>
    <row r="676" spans="1:13" ht="13">
      <c r="A676" s="34" t="s">
        <v>1383</v>
      </c>
      <c r="B676" s="31" t="s">
        <v>28</v>
      </c>
      <c r="C676" s="33" t="s">
        <v>1202</v>
      </c>
      <c r="D676" s="31">
        <v>0</v>
      </c>
      <c r="E676" s="31">
        <v>1</v>
      </c>
      <c r="F676" s="31" t="s">
        <v>1384</v>
      </c>
      <c r="G676" s="31">
        <v>0</v>
      </c>
      <c r="H676" s="31">
        <v>1</v>
      </c>
      <c r="I676" s="31" t="e">
        <f t="shared" ca="1" si="34"/>
        <v>#NAME?</v>
      </c>
      <c r="K676" s="31" t="s">
        <v>677</v>
      </c>
      <c r="L676" s="31">
        <v>0</v>
      </c>
      <c r="M676" s="31">
        <f t="shared" si="1"/>
        <v>1</v>
      </c>
    </row>
    <row r="677" spans="1:13" ht="13">
      <c r="A677" s="34" t="s">
        <v>1383</v>
      </c>
      <c r="B677" s="31" t="s">
        <v>28</v>
      </c>
      <c r="C677" s="33" t="s">
        <v>1202</v>
      </c>
      <c r="D677" s="31">
        <v>0</v>
      </c>
      <c r="E677" s="31">
        <v>1</v>
      </c>
      <c r="F677" s="31" t="s">
        <v>1385</v>
      </c>
      <c r="G677" s="31">
        <v>0</v>
      </c>
      <c r="H677" s="31">
        <v>1</v>
      </c>
      <c r="I677" s="31" t="e">
        <f t="shared" ca="1" si="34"/>
        <v>#NAME?</v>
      </c>
      <c r="K677" s="31" t="s">
        <v>677</v>
      </c>
      <c r="M677" s="31">
        <f t="shared" si="1"/>
        <v>0</v>
      </c>
    </row>
    <row r="678" spans="1:13" ht="13">
      <c r="A678" s="34" t="s">
        <v>1383</v>
      </c>
      <c r="B678" s="31" t="s">
        <v>28</v>
      </c>
      <c r="C678" s="33" t="s">
        <v>1202</v>
      </c>
      <c r="D678" s="31">
        <v>0</v>
      </c>
      <c r="E678" s="31">
        <v>1</v>
      </c>
      <c r="F678" s="31" t="s">
        <v>1386</v>
      </c>
      <c r="G678" s="31">
        <v>0</v>
      </c>
      <c r="H678" s="31">
        <v>1</v>
      </c>
      <c r="I678" s="31" t="e">
        <f t="shared" ca="1" si="34"/>
        <v>#NAME?</v>
      </c>
      <c r="K678" s="31" t="s">
        <v>677</v>
      </c>
      <c r="M678" s="31">
        <f t="shared" si="1"/>
        <v>0</v>
      </c>
    </row>
    <row r="679" spans="1:13" ht="13">
      <c r="A679" s="34" t="s">
        <v>1387</v>
      </c>
      <c r="B679" s="31" t="s">
        <v>28</v>
      </c>
      <c r="C679" s="33" t="s">
        <v>1192</v>
      </c>
      <c r="D679" s="31">
        <v>0</v>
      </c>
      <c r="E679" s="31">
        <v>0</v>
      </c>
      <c r="F679" s="31" t="s">
        <v>1388</v>
      </c>
      <c r="G679" s="31">
        <v>0</v>
      </c>
      <c r="H679" s="31">
        <v>1</v>
      </c>
      <c r="I679" s="31" t="e">
        <f t="shared" ca="1" si="34"/>
        <v>#NAME?</v>
      </c>
      <c r="K679" s="31" t="s">
        <v>1389</v>
      </c>
      <c r="L679" s="31">
        <v>0</v>
      </c>
      <c r="M679" s="31">
        <f t="shared" si="1"/>
        <v>1</v>
      </c>
    </row>
    <row r="680" spans="1:13" ht="13">
      <c r="A680" s="34" t="s">
        <v>1387</v>
      </c>
      <c r="B680" s="31" t="s">
        <v>28</v>
      </c>
      <c r="C680" s="33" t="s">
        <v>1192</v>
      </c>
      <c r="D680" s="31">
        <v>0</v>
      </c>
      <c r="E680" s="31">
        <v>0</v>
      </c>
      <c r="F680" s="31" t="s">
        <v>1390</v>
      </c>
      <c r="G680" s="31">
        <v>0</v>
      </c>
      <c r="H680" s="31">
        <v>1</v>
      </c>
      <c r="I680" s="31" t="e">
        <f t="shared" ca="1" si="34"/>
        <v>#NAME?</v>
      </c>
      <c r="M680" s="31">
        <f t="shared" si="1"/>
        <v>0</v>
      </c>
    </row>
    <row r="681" spans="1:13" ht="13">
      <c r="A681" s="34" t="s">
        <v>1387</v>
      </c>
      <c r="B681" s="31" t="s">
        <v>28</v>
      </c>
      <c r="C681" s="33" t="s">
        <v>1192</v>
      </c>
      <c r="D681" s="31">
        <v>0</v>
      </c>
      <c r="E681" s="31">
        <v>0</v>
      </c>
      <c r="F681" s="31" t="s">
        <v>1391</v>
      </c>
      <c r="G681" s="31">
        <v>0</v>
      </c>
      <c r="H681" s="31">
        <v>1</v>
      </c>
      <c r="I681" s="31" t="e">
        <f t="shared" ca="1" si="34"/>
        <v>#NAME?</v>
      </c>
      <c r="M681" s="31">
        <f t="shared" si="1"/>
        <v>0</v>
      </c>
    </row>
    <row r="682" spans="1:13" ht="13">
      <c r="A682" s="34" t="s">
        <v>1387</v>
      </c>
      <c r="B682" s="31" t="s">
        <v>28</v>
      </c>
      <c r="C682" s="33" t="s">
        <v>1192</v>
      </c>
      <c r="D682" s="31">
        <v>0</v>
      </c>
      <c r="E682" s="31">
        <v>0</v>
      </c>
      <c r="F682" s="31" t="s">
        <v>1392</v>
      </c>
      <c r="G682" s="31">
        <v>0</v>
      </c>
      <c r="H682" s="31">
        <v>1</v>
      </c>
      <c r="I682" s="31" t="e">
        <f t="shared" ca="1" si="34"/>
        <v>#NAME?</v>
      </c>
      <c r="M682" s="31">
        <f t="shared" si="1"/>
        <v>0</v>
      </c>
    </row>
    <row r="683" spans="1:13" ht="13">
      <c r="A683" s="34" t="s">
        <v>1387</v>
      </c>
      <c r="B683" s="31" t="s">
        <v>28</v>
      </c>
      <c r="C683" s="33" t="s">
        <v>1192</v>
      </c>
      <c r="D683" s="31">
        <v>0</v>
      </c>
      <c r="E683" s="31">
        <v>0</v>
      </c>
      <c r="F683" s="31" t="s">
        <v>1393</v>
      </c>
      <c r="G683" s="31">
        <v>0</v>
      </c>
      <c r="H683" s="31">
        <v>1</v>
      </c>
      <c r="I683" s="31" t="e">
        <f t="shared" ca="1" si="34"/>
        <v>#NAME?</v>
      </c>
      <c r="M683" s="31">
        <f t="shared" si="1"/>
        <v>0</v>
      </c>
    </row>
    <row r="684" spans="1:13" ht="13">
      <c r="A684" s="34" t="s">
        <v>1387</v>
      </c>
      <c r="B684" s="31" t="s">
        <v>28</v>
      </c>
      <c r="C684" s="33" t="s">
        <v>1192</v>
      </c>
      <c r="D684" s="31">
        <v>0</v>
      </c>
      <c r="E684" s="31">
        <v>0</v>
      </c>
      <c r="F684" s="31" t="s">
        <v>1394</v>
      </c>
      <c r="G684" s="31">
        <v>0</v>
      </c>
      <c r="H684" s="31">
        <v>1</v>
      </c>
      <c r="I684" s="31" t="e">
        <f t="shared" ca="1" si="34"/>
        <v>#NAME?</v>
      </c>
      <c r="M684" s="31">
        <f t="shared" si="1"/>
        <v>0</v>
      </c>
    </row>
    <row r="685" spans="1:13" ht="13">
      <c r="A685" s="34" t="s">
        <v>1387</v>
      </c>
      <c r="B685" s="31" t="s">
        <v>28</v>
      </c>
      <c r="C685" s="33" t="s">
        <v>1192</v>
      </c>
      <c r="D685" s="31">
        <v>0</v>
      </c>
      <c r="E685" s="31">
        <v>0</v>
      </c>
      <c r="F685" s="31" t="s">
        <v>1395</v>
      </c>
      <c r="G685" s="31">
        <v>0</v>
      </c>
      <c r="H685" s="31">
        <v>1</v>
      </c>
      <c r="I685" s="31" t="e">
        <f t="shared" ca="1" si="34"/>
        <v>#NAME?</v>
      </c>
      <c r="M685" s="31">
        <f t="shared" si="1"/>
        <v>0</v>
      </c>
    </row>
    <row r="686" spans="1:13" ht="13">
      <c r="A686" s="34" t="s">
        <v>1387</v>
      </c>
      <c r="B686" s="31" t="s">
        <v>28</v>
      </c>
      <c r="C686" s="33" t="s">
        <v>1192</v>
      </c>
      <c r="D686" s="31">
        <v>0</v>
      </c>
      <c r="E686" s="31">
        <v>0</v>
      </c>
      <c r="F686" s="31" t="s">
        <v>1396</v>
      </c>
      <c r="G686" s="31">
        <v>0</v>
      </c>
      <c r="H686" s="31">
        <v>1</v>
      </c>
      <c r="I686" s="31" t="e">
        <f t="shared" ca="1" si="34"/>
        <v>#NAME?</v>
      </c>
      <c r="M686" s="31">
        <f t="shared" si="1"/>
        <v>0</v>
      </c>
    </row>
    <row r="687" spans="1:13" ht="13">
      <c r="A687" s="34" t="s">
        <v>1397</v>
      </c>
      <c r="B687" s="31" t="s">
        <v>28</v>
      </c>
      <c r="C687" s="33" t="s">
        <v>1193</v>
      </c>
      <c r="D687" s="31">
        <v>0</v>
      </c>
      <c r="E687" s="31">
        <v>1</v>
      </c>
      <c r="F687" s="31" t="s">
        <v>1398</v>
      </c>
      <c r="G687" s="31">
        <v>0</v>
      </c>
      <c r="H687" s="31">
        <v>1</v>
      </c>
      <c r="I687" s="31" t="e">
        <f t="shared" ca="1" si="34"/>
        <v>#NAME?</v>
      </c>
      <c r="K687" s="31" t="s">
        <v>1399</v>
      </c>
      <c r="L687" s="31">
        <v>0</v>
      </c>
      <c r="M687" s="31">
        <f t="shared" si="1"/>
        <v>1</v>
      </c>
    </row>
    <row r="688" spans="1:13" ht="13">
      <c r="A688" s="34" t="s">
        <v>1397</v>
      </c>
      <c r="B688" s="31" t="s">
        <v>28</v>
      </c>
      <c r="C688" s="33" t="s">
        <v>1193</v>
      </c>
      <c r="D688" s="31">
        <v>0</v>
      </c>
      <c r="E688" s="31">
        <v>1</v>
      </c>
      <c r="F688" s="31" t="s">
        <v>1400</v>
      </c>
      <c r="G688" s="31">
        <v>0</v>
      </c>
      <c r="H688" s="31">
        <v>1</v>
      </c>
      <c r="I688" s="31" t="e">
        <f t="shared" ca="1" si="34"/>
        <v>#NAME?</v>
      </c>
      <c r="K688" s="31" t="s">
        <v>1399</v>
      </c>
      <c r="M688" s="31">
        <f t="shared" si="1"/>
        <v>0</v>
      </c>
    </row>
    <row r="689" spans="1:13" ht="13">
      <c r="A689" s="34" t="s">
        <v>1397</v>
      </c>
      <c r="B689" s="31" t="s">
        <v>28</v>
      </c>
      <c r="C689" s="33" t="s">
        <v>1193</v>
      </c>
      <c r="D689" s="31">
        <v>0</v>
      </c>
      <c r="E689" s="31">
        <v>1</v>
      </c>
      <c r="F689" s="31" t="s">
        <v>1401</v>
      </c>
      <c r="G689" s="31">
        <v>0</v>
      </c>
      <c r="H689" s="31">
        <v>1</v>
      </c>
      <c r="I689" s="31" t="e">
        <f t="shared" ca="1" si="34"/>
        <v>#NAME?</v>
      </c>
      <c r="K689" s="31" t="s">
        <v>1399</v>
      </c>
      <c r="M689" s="31">
        <f t="shared" si="1"/>
        <v>0</v>
      </c>
    </row>
    <row r="690" spans="1:13" ht="13">
      <c r="A690" s="34" t="s">
        <v>1397</v>
      </c>
      <c r="B690" s="31" t="s">
        <v>28</v>
      </c>
      <c r="C690" s="33" t="s">
        <v>1193</v>
      </c>
      <c r="D690" s="31">
        <v>0</v>
      </c>
      <c r="E690" s="31">
        <v>1</v>
      </c>
      <c r="F690" s="31" t="s">
        <v>1402</v>
      </c>
      <c r="G690" s="31">
        <v>0</v>
      </c>
      <c r="H690" s="31">
        <v>1</v>
      </c>
      <c r="I690" s="31" t="e">
        <f t="shared" ca="1" si="34"/>
        <v>#NAME?</v>
      </c>
      <c r="K690" s="31" t="s">
        <v>1399</v>
      </c>
      <c r="M690" s="31">
        <f t="shared" si="1"/>
        <v>0</v>
      </c>
    </row>
    <row r="691" spans="1:13" ht="13">
      <c r="A691" s="34" t="s">
        <v>1403</v>
      </c>
      <c r="B691" s="31" t="s">
        <v>28</v>
      </c>
      <c r="C691" s="33" t="s">
        <v>1197</v>
      </c>
      <c r="D691" s="31">
        <v>0</v>
      </c>
      <c r="E691" s="31">
        <v>1</v>
      </c>
      <c r="F691" s="31" t="s">
        <v>1404</v>
      </c>
      <c r="G691" s="31">
        <v>0</v>
      </c>
      <c r="H691" s="31">
        <v>1</v>
      </c>
      <c r="I691" s="31" t="e">
        <f t="shared" ca="1" si="34"/>
        <v>#NAME?</v>
      </c>
      <c r="L691" s="31">
        <v>0</v>
      </c>
      <c r="M691" s="31">
        <f t="shared" si="1"/>
        <v>1</v>
      </c>
    </row>
    <row r="692" spans="1:13" ht="13">
      <c r="A692" s="34" t="s">
        <v>1403</v>
      </c>
      <c r="B692" s="31" t="s">
        <v>28</v>
      </c>
      <c r="C692" s="33" t="s">
        <v>1197</v>
      </c>
      <c r="D692" s="31">
        <v>0</v>
      </c>
      <c r="E692" s="31">
        <v>1</v>
      </c>
      <c r="F692" s="31" t="s">
        <v>1405</v>
      </c>
      <c r="G692" s="31">
        <v>0</v>
      </c>
      <c r="H692" s="31">
        <v>1</v>
      </c>
      <c r="I692" s="31" t="e">
        <f t="shared" ca="1" si="34"/>
        <v>#NAME?</v>
      </c>
      <c r="M692" s="31">
        <f t="shared" si="1"/>
        <v>0</v>
      </c>
    </row>
    <row r="693" spans="1:13" ht="13">
      <c r="A693" s="34" t="s">
        <v>1403</v>
      </c>
      <c r="B693" s="31" t="s">
        <v>28</v>
      </c>
      <c r="C693" s="33" t="s">
        <v>1197</v>
      </c>
      <c r="D693" s="31">
        <v>0</v>
      </c>
      <c r="E693" s="31">
        <v>1</v>
      </c>
      <c r="F693" s="31" t="s">
        <v>1406</v>
      </c>
      <c r="G693" s="31">
        <v>0</v>
      </c>
      <c r="H693" s="31">
        <v>1</v>
      </c>
      <c r="I693" s="31" t="e">
        <f t="shared" ca="1" si="34"/>
        <v>#NAME?</v>
      </c>
      <c r="M693" s="31">
        <f t="shared" si="1"/>
        <v>0</v>
      </c>
    </row>
    <row r="694" spans="1:13" ht="13">
      <c r="A694" s="34" t="s">
        <v>1403</v>
      </c>
      <c r="B694" s="31" t="s">
        <v>28</v>
      </c>
      <c r="C694" s="33" t="s">
        <v>1197</v>
      </c>
      <c r="D694" s="31">
        <v>0</v>
      </c>
      <c r="E694" s="31">
        <v>1</v>
      </c>
      <c r="F694" s="31" t="s">
        <v>1407</v>
      </c>
      <c r="G694" s="31">
        <v>0</v>
      </c>
      <c r="H694" s="31">
        <v>1</v>
      </c>
      <c r="I694" s="31" t="e">
        <f t="shared" ca="1" si="34"/>
        <v>#NAME?</v>
      </c>
      <c r="M694" s="31">
        <f t="shared" si="1"/>
        <v>0</v>
      </c>
    </row>
    <row r="695" spans="1:13" ht="13">
      <c r="A695" s="34" t="s">
        <v>1403</v>
      </c>
      <c r="B695" s="31" t="s">
        <v>28</v>
      </c>
      <c r="C695" s="33" t="s">
        <v>1197</v>
      </c>
      <c r="D695" s="31">
        <v>0</v>
      </c>
      <c r="E695" s="31">
        <v>1</v>
      </c>
      <c r="F695" s="31" t="s">
        <v>1408</v>
      </c>
      <c r="G695" s="31">
        <v>0</v>
      </c>
      <c r="H695" s="31">
        <v>1</v>
      </c>
      <c r="I695" s="31" t="e">
        <f t="shared" ca="1" si="34"/>
        <v>#NAME?</v>
      </c>
      <c r="M695" s="31">
        <f t="shared" si="1"/>
        <v>0</v>
      </c>
    </row>
    <row r="696" spans="1:13" ht="13">
      <c r="A696" s="34" t="s">
        <v>1403</v>
      </c>
      <c r="B696" s="31" t="s">
        <v>28</v>
      </c>
      <c r="C696" s="33" t="s">
        <v>1197</v>
      </c>
      <c r="D696" s="31">
        <v>0</v>
      </c>
      <c r="E696" s="31">
        <v>1</v>
      </c>
      <c r="F696" s="31" t="s">
        <v>345</v>
      </c>
      <c r="G696" s="31">
        <v>0</v>
      </c>
      <c r="H696" s="31">
        <v>1</v>
      </c>
      <c r="I696" s="31" t="e">
        <f t="shared" ca="1" si="34"/>
        <v>#NAME?</v>
      </c>
      <c r="M696" s="31">
        <f t="shared" si="1"/>
        <v>0</v>
      </c>
    </row>
    <row r="697" spans="1:13" ht="13">
      <c r="A697" s="34" t="s">
        <v>1403</v>
      </c>
      <c r="B697" s="31" t="s">
        <v>28</v>
      </c>
      <c r="C697" s="33" t="s">
        <v>1197</v>
      </c>
      <c r="D697" s="31">
        <v>0</v>
      </c>
      <c r="E697" s="31">
        <v>1</v>
      </c>
      <c r="F697" s="31" t="s">
        <v>567</v>
      </c>
      <c r="G697" s="31">
        <v>0</v>
      </c>
      <c r="H697" s="31">
        <v>1</v>
      </c>
      <c r="I697" s="31" t="e">
        <f t="shared" ca="1" si="34"/>
        <v>#NAME?</v>
      </c>
      <c r="M697" s="31">
        <f t="shared" si="1"/>
        <v>0</v>
      </c>
    </row>
    <row r="698" spans="1:13" ht="13">
      <c r="A698" s="34" t="s">
        <v>1403</v>
      </c>
      <c r="B698" s="31" t="s">
        <v>28</v>
      </c>
      <c r="C698" s="33" t="s">
        <v>1197</v>
      </c>
      <c r="D698" s="31">
        <v>0</v>
      </c>
      <c r="E698" s="31">
        <v>1</v>
      </c>
      <c r="F698" s="31" t="s">
        <v>1409</v>
      </c>
      <c r="G698" s="31">
        <v>0</v>
      </c>
      <c r="H698" s="31">
        <v>1</v>
      </c>
      <c r="I698" s="31" t="e">
        <f t="shared" ca="1" si="34"/>
        <v>#NAME?</v>
      </c>
      <c r="M698" s="31">
        <f t="shared" si="1"/>
        <v>0</v>
      </c>
    </row>
    <row r="699" spans="1:13" ht="13">
      <c r="A699" s="34" t="s">
        <v>1410</v>
      </c>
      <c r="B699" s="31" t="s">
        <v>28</v>
      </c>
      <c r="C699" s="33" t="s">
        <v>1199</v>
      </c>
      <c r="D699" s="31">
        <v>0</v>
      </c>
      <c r="E699" s="31">
        <v>1</v>
      </c>
      <c r="F699" s="31" t="s">
        <v>1256</v>
      </c>
      <c r="G699" s="31">
        <v>0</v>
      </c>
      <c r="H699" s="31">
        <v>1</v>
      </c>
      <c r="I699" s="31" t="e">
        <f t="shared" ca="1" si="34"/>
        <v>#NAME?</v>
      </c>
      <c r="L699" s="31">
        <v>0</v>
      </c>
      <c r="M699" s="31">
        <f t="shared" si="1"/>
        <v>1</v>
      </c>
    </row>
    <row r="700" spans="1:13" ht="13">
      <c r="A700" s="34" t="s">
        <v>1410</v>
      </c>
      <c r="B700" s="31" t="s">
        <v>28</v>
      </c>
      <c r="C700" s="33" t="s">
        <v>1199</v>
      </c>
      <c r="D700" s="31">
        <v>0</v>
      </c>
      <c r="E700" s="31">
        <v>1</v>
      </c>
      <c r="F700" s="31" t="s">
        <v>1411</v>
      </c>
      <c r="G700" s="31">
        <v>0</v>
      </c>
      <c r="H700" s="31">
        <v>1</v>
      </c>
      <c r="I700" s="31" t="e">
        <f t="shared" ca="1" si="34"/>
        <v>#NAME?</v>
      </c>
      <c r="M700" s="31">
        <f t="shared" si="1"/>
        <v>0</v>
      </c>
    </row>
    <row r="701" spans="1:13" ht="13">
      <c r="A701" s="34" t="s">
        <v>1412</v>
      </c>
      <c r="B701" s="31" t="s">
        <v>28</v>
      </c>
      <c r="C701" s="33" t="s">
        <v>1200</v>
      </c>
      <c r="D701" s="31">
        <v>0</v>
      </c>
      <c r="E701" s="31">
        <v>0</v>
      </c>
      <c r="F701" s="31" t="s">
        <v>1413</v>
      </c>
      <c r="G701" s="31">
        <v>0</v>
      </c>
      <c r="H701" s="31">
        <v>0</v>
      </c>
      <c r="I701" s="31" t="e">
        <f t="shared" ca="1" si="34"/>
        <v>#NAME?</v>
      </c>
      <c r="K701" s="31" t="s">
        <v>1414</v>
      </c>
      <c r="L701" s="31">
        <v>0</v>
      </c>
      <c r="M701" s="31">
        <f t="shared" si="1"/>
        <v>1</v>
      </c>
    </row>
    <row r="702" spans="1:13" ht="13">
      <c r="A702" s="34" t="s">
        <v>1415</v>
      </c>
      <c r="B702" s="31" t="s">
        <v>28</v>
      </c>
      <c r="C702" s="33" t="s">
        <v>1186</v>
      </c>
      <c r="D702" s="31">
        <v>0</v>
      </c>
      <c r="E702" s="31">
        <v>0</v>
      </c>
      <c r="F702" s="31" t="s">
        <v>1416</v>
      </c>
      <c r="G702" s="31">
        <v>0</v>
      </c>
      <c r="H702" s="31">
        <v>0</v>
      </c>
      <c r="I702" s="31" t="e">
        <f t="shared" ca="1" si="34"/>
        <v>#NAME?</v>
      </c>
      <c r="L702" s="31">
        <v>0</v>
      </c>
      <c r="M702" s="31">
        <f t="shared" si="1"/>
        <v>1</v>
      </c>
    </row>
    <row r="703" spans="1:13" ht="13">
      <c r="A703" s="34" t="s">
        <v>1415</v>
      </c>
      <c r="B703" s="31" t="s">
        <v>28</v>
      </c>
      <c r="C703" s="33" t="s">
        <v>1186</v>
      </c>
      <c r="D703" s="31">
        <v>0</v>
      </c>
      <c r="E703" s="31">
        <v>0</v>
      </c>
      <c r="F703" s="31" t="s">
        <v>1370</v>
      </c>
      <c r="G703" s="31">
        <v>0</v>
      </c>
      <c r="H703" s="31">
        <v>0</v>
      </c>
      <c r="I703" s="31" t="e">
        <f t="shared" ca="1" si="34"/>
        <v>#NAME?</v>
      </c>
      <c r="M703" s="31">
        <f t="shared" si="1"/>
        <v>0</v>
      </c>
    </row>
    <row r="704" spans="1:13" ht="13">
      <c r="A704" s="34" t="s">
        <v>1417</v>
      </c>
      <c r="B704" s="31" t="s">
        <v>28</v>
      </c>
      <c r="C704" s="33" t="s">
        <v>1160</v>
      </c>
      <c r="D704" s="31">
        <v>0</v>
      </c>
      <c r="E704" s="31">
        <v>0</v>
      </c>
      <c r="F704" s="31" t="s">
        <v>1418</v>
      </c>
      <c r="G704" s="31">
        <v>0</v>
      </c>
      <c r="H704" s="31">
        <v>1</v>
      </c>
      <c r="I704" s="31" t="e">
        <f t="shared" ca="1" si="34"/>
        <v>#NAME?</v>
      </c>
      <c r="K704" s="31" t="s">
        <v>1399</v>
      </c>
      <c r="L704" s="31">
        <v>0</v>
      </c>
      <c r="M704" s="31">
        <f t="shared" si="1"/>
        <v>1</v>
      </c>
    </row>
    <row r="705" spans="1:13" ht="13">
      <c r="A705" s="34" t="s">
        <v>1419</v>
      </c>
      <c r="B705" s="31" t="s">
        <v>28</v>
      </c>
      <c r="C705" s="33" t="s">
        <v>1163</v>
      </c>
      <c r="D705" s="31">
        <v>0</v>
      </c>
      <c r="E705" s="31">
        <v>0</v>
      </c>
      <c r="F705" s="31" t="s">
        <v>686</v>
      </c>
      <c r="G705" s="31">
        <v>0</v>
      </c>
      <c r="H705" s="31">
        <v>1</v>
      </c>
      <c r="I705" s="31" t="e">
        <f t="shared" ca="1" si="34"/>
        <v>#NAME?</v>
      </c>
      <c r="L705" s="31">
        <v>0</v>
      </c>
      <c r="M705" s="31">
        <f t="shared" si="1"/>
        <v>1</v>
      </c>
    </row>
    <row r="706" spans="1:13" ht="13">
      <c r="A706" s="34" t="s">
        <v>1419</v>
      </c>
      <c r="B706" s="31" t="s">
        <v>28</v>
      </c>
      <c r="C706" s="33" t="s">
        <v>1163</v>
      </c>
      <c r="D706" s="31">
        <v>0</v>
      </c>
      <c r="E706" s="31">
        <v>0</v>
      </c>
      <c r="F706" s="31" t="s">
        <v>720</v>
      </c>
      <c r="G706" s="31">
        <v>0</v>
      </c>
      <c r="H706" s="31">
        <v>1</v>
      </c>
      <c r="I706" s="31" t="e">
        <f t="shared" ca="1" si="34"/>
        <v>#NAME?</v>
      </c>
      <c r="M706" s="31">
        <f t="shared" si="1"/>
        <v>0</v>
      </c>
    </row>
    <row r="707" spans="1:13" ht="13">
      <c r="A707" s="34" t="s">
        <v>1419</v>
      </c>
      <c r="B707" s="31" t="s">
        <v>28</v>
      </c>
      <c r="C707" s="33" t="s">
        <v>1163</v>
      </c>
      <c r="D707" s="31">
        <v>0</v>
      </c>
      <c r="E707" s="31">
        <v>0</v>
      </c>
      <c r="F707" s="31" t="s">
        <v>567</v>
      </c>
      <c r="G707" s="31">
        <v>0</v>
      </c>
      <c r="H707" s="31">
        <v>1</v>
      </c>
      <c r="I707" s="31" t="e">
        <f t="shared" ca="1" si="34"/>
        <v>#NAME?</v>
      </c>
      <c r="M707" s="31">
        <f t="shared" si="1"/>
        <v>0</v>
      </c>
    </row>
    <row r="708" spans="1:13" ht="13">
      <c r="A708" s="46" t="s">
        <v>1420</v>
      </c>
      <c r="B708" s="31" t="s">
        <v>62</v>
      </c>
      <c r="C708" s="33" t="s">
        <v>1023</v>
      </c>
      <c r="D708" s="31">
        <v>0</v>
      </c>
      <c r="E708" s="31">
        <v>0</v>
      </c>
      <c r="F708" s="31" t="s">
        <v>1421</v>
      </c>
      <c r="G708" s="31">
        <v>0</v>
      </c>
      <c r="H708" s="31">
        <v>1</v>
      </c>
      <c r="I708" s="31" t="e">
        <f t="shared" ca="1" si="34"/>
        <v>#NAME?</v>
      </c>
      <c r="K708" s="31" t="s">
        <v>1414</v>
      </c>
      <c r="L708" s="31">
        <v>1</v>
      </c>
      <c r="M708" s="31">
        <f t="shared" si="1"/>
        <v>1</v>
      </c>
    </row>
    <row r="709" spans="1:13" ht="13">
      <c r="A709" s="46" t="s">
        <v>1422</v>
      </c>
      <c r="B709" s="31" t="s">
        <v>62</v>
      </c>
      <c r="C709" s="33" t="s">
        <v>1024</v>
      </c>
      <c r="D709" s="31">
        <v>0</v>
      </c>
      <c r="E709" s="31">
        <v>0</v>
      </c>
      <c r="F709" s="31" t="s">
        <v>1423</v>
      </c>
      <c r="G709" s="31">
        <v>0</v>
      </c>
      <c r="H709" s="31">
        <v>1</v>
      </c>
      <c r="I709" s="31" t="e">
        <f t="shared" ca="1" si="34"/>
        <v>#NAME?</v>
      </c>
      <c r="L709" s="31">
        <v>0</v>
      </c>
      <c r="M709" s="31">
        <f t="shared" si="1"/>
        <v>1</v>
      </c>
    </row>
    <row r="710" spans="1:13" ht="13">
      <c r="A710" s="46" t="s">
        <v>1422</v>
      </c>
      <c r="B710" s="31" t="s">
        <v>62</v>
      </c>
      <c r="C710" s="31" t="s">
        <v>1424</v>
      </c>
      <c r="D710" s="31">
        <v>0</v>
      </c>
      <c r="E710" s="31">
        <v>0</v>
      </c>
      <c r="F710" s="31" t="s">
        <v>1425</v>
      </c>
      <c r="G710" s="31">
        <v>0</v>
      </c>
      <c r="H710" s="31">
        <v>1</v>
      </c>
      <c r="I710" s="31" t="e">
        <f t="shared" ca="1" si="34"/>
        <v>#NAME?</v>
      </c>
      <c r="M710" s="31">
        <f t="shared" si="1"/>
        <v>0</v>
      </c>
    </row>
    <row r="711" spans="1:13" ht="13">
      <c r="A711" s="46" t="s">
        <v>1422</v>
      </c>
      <c r="B711" s="31" t="s">
        <v>62</v>
      </c>
      <c r="C711" s="31" t="s">
        <v>1426</v>
      </c>
      <c r="D711" s="31">
        <v>0</v>
      </c>
      <c r="E711" s="31">
        <v>0</v>
      </c>
      <c r="F711" s="31" t="s">
        <v>792</v>
      </c>
      <c r="G711" s="31">
        <v>0</v>
      </c>
      <c r="H711" s="31">
        <v>1</v>
      </c>
      <c r="I711" s="31" t="e">
        <f t="shared" ca="1" si="34"/>
        <v>#NAME?</v>
      </c>
      <c r="M711" s="31">
        <f t="shared" si="1"/>
        <v>0</v>
      </c>
    </row>
    <row r="712" spans="1:13" ht="13">
      <c r="A712" s="46" t="s">
        <v>1427</v>
      </c>
      <c r="B712" s="31" t="s">
        <v>62</v>
      </c>
      <c r="C712" s="33" t="s">
        <v>1025</v>
      </c>
      <c r="D712" s="31">
        <v>0</v>
      </c>
      <c r="E712" s="31">
        <v>0</v>
      </c>
      <c r="F712" s="31" t="s">
        <v>1217</v>
      </c>
      <c r="G712" s="31">
        <v>0</v>
      </c>
      <c r="H712" s="31">
        <v>1</v>
      </c>
      <c r="I712" s="31" t="e">
        <f t="shared" ca="1" si="34"/>
        <v>#NAME?</v>
      </c>
      <c r="L712" s="31">
        <v>0</v>
      </c>
      <c r="M712" s="31">
        <f t="shared" si="1"/>
        <v>1</v>
      </c>
    </row>
    <row r="713" spans="1:13" ht="13">
      <c r="A713" s="46" t="s">
        <v>1427</v>
      </c>
      <c r="B713" s="31" t="s">
        <v>62</v>
      </c>
      <c r="C713" s="31" t="s">
        <v>1428</v>
      </c>
      <c r="D713" s="31">
        <v>0</v>
      </c>
      <c r="E713" s="31">
        <v>0</v>
      </c>
      <c r="F713" s="31" t="s">
        <v>1429</v>
      </c>
      <c r="G713" s="31">
        <v>0</v>
      </c>
      <c r="H713" s="31">
        <v>1</v>
      </c>
      <c r="I713" s="31" t="e">
        <f t="shared" ca="1" si="34"/>
        <v>#NAME?</v>
      </c>
      <c r="M713" s="31">
        <f t="shared" si="1"/>
        <v>0</v>
      </c>
    </row>
    <row r="714" spans="1:13" ht="13">
      <c r="A714" s="46" t="s">
        <v>1427</v>
      </c>
      <c r="B714" s="31" t="s">
        <v>62</v>
      </c>
      <c r="C714" s="31" t="s">
        <v>1430</v>
      </c>
      <c r="D714" s="31">
        <v>0</v>
      </c>
      <c r="E714" s="31">
        <v>0</v>
      </c>
      <c r="F714" s="31" t="s">
        <v>1431</v>
      </c>
      <c r="G714" s="31">
        <v>0</v>
      </c>
      <c r="H714" s="31">
        <v>1</v>
      </c>
      <c r="I714" s="31" t="e">
        <f t="shared" ca="1" si="34"/>
        <v>#NAME?</v>
      </c>
      <c r="M714" s="31">
        <f t="shared" si="1"/>
        <v>0</v>
      </c>
    </row>
    <row r="715" spans="1:13" ht="13">
      <c r="A715" s="46" t="s">
        <v>1427</v>
      </c>
      <c r="B715" s="31" t="s">
        <v>62</v>
      </c>
      <c r="C715" s="31" t="s">
        <v>1432</v>
      </c>
      <c r="D715" s="31">
        <v>0</v>
      </c>
      <c r="E715" s="31">
        <v>0</v>
      </c>
      <c r="F715" s="31" t="s">
        <v>1433</v>
      </c>
      <c r="G715" s="31">
        <v>0</v>
      </c>
      <c r="H715" s="31">
        <v>1</v>
      </c>
      <c r="I715" s="31" t="e">
        <f t="shared" ca="1" si="34"/>
        <v>#NAME?</v>
      </c>
      <c r="L715" s="31">
        <v>0</v>
      </c>
      <c r="M715" s="31">
        <f t="shared" si="1"/>
        <v>0</v>
      </c>
    </row>
    <row r="716" spans="1:13" ht="13">
      <c r="A716" s="33" t="s">
        <v>1434</v>
      </c>
      <c r="B716" s="31" t="s">
        <v>62</v>
      </c>
      <c r="C716" s="33" t="s">
        <v>946</v>
      </c>
      <c r="D716" s="31">
        <v>0</v>
      </c>
      <c r="E716" s="31">
        <v>1</v>
      </c>
      <c r="F716" s="31" t="s">
        <v>1435</v>
      </c>
      <c r="G716" s="31">
        <v>0</v>
      </c>
      <c r="H716" s="31">
        <v>1</v>
      </c>
      <c r="I716" s="31" t="e">
        <f t="shared" ca="1" si="34"/>
        <v>#NAME?</v>
      </c>
      <c r="M716" s="31">
        <f t="shared" si="1"/>
        <v>1</v>
      </c>
    </row>
    <row r="717" spans="1:13" ht="13">
      <c r="A717" s="33" t="s">
        <v>1434</v>
      </c>
      <c r="B717" s="31" t="s">
        <v>62</v>
      </c>
      <c r="C717" s="31" t="s">
        <v>1436</v>
      </c>
      <c r="D717" s="31">
        <v>0</v>
      </c>
      <c r="E717" s="31">
        <v>1</v>
      </c>
      <c r="F717" s="31" t="s">
        <v>1437</v>
      </c>
      <c r="G717" s="31">
        <v>0</v>
      </c>
      <c r="H717" s="31">
        <v>1</v>
      </c>
      <c r="I717" s="31" t="e">
        <f t="shared" ca="1" si="34"/>
        <v>#NAME?</v>
      </c>
      <c r="M717" s="31">
        <f t="shared" si="1"/>
        <v>0</v>
      </c>
    </row>
    <row r="718" spans="1:13" ht="13">
      <c r="A718" s="33" t="s">
        <v>1434</v>
      </c>
      <c r="B718" s="31" t="s">
        <v>62</v>
      </c>
      <c r="C718" s="31" t="s">
        <v>1438</v>
      </c>
      <c r="D718" s="31">
        <v>0</v>
      </c>
      <c r="E718" s="31">
        <v>1</v>
      </c>
      <c r="F718" s="31" t="s">
        <v>1439</v>
      </c>
      <c r="G718" s="31">
        <v>0</v>
      </c>
      <c r="H718" s="31">
        <v>1</v>
      </c>
      <c r="I718" s="31" t="e">
        <f t="shared" ca="1" si="34"/>
        <v>#NAME?</v>
      </c>
      <c r="M718" s="31">
        <f t="shared" si="1"/>
        <v>0</v>
      </c>
    </row>
    <row r="719" spans="1:13" ht="13">
      <c r="A719" s="46" t="s">
        <v>1440</v>
      </c>
      <c r="B719" s="31" t="s">
        <v>62</v>
      </c>
      <c r="C719" s="33" t="s">
        <v>954</v>
      </c>
      <c r="D719" s="31">
        <v>0</v>
      </c>
      <c r="E719" s="31">
        <v>1</v>
      </c>
      <c r="F719" s="31" t="s">
        <v>1441</v>
      </c>
      <c r="G719" s="31">
        <v>0</v>
      </c>
      <c r="H719" s="31">
        <v>0</v>
      </c>
      <c r="I719" s="31" t="e">
        <f t="shared" ca="1" si="34"/>
        <v>#NAME?</v>
      </c>
      <c r="K719" s="31" t="s">
        <v>1442</v>
      </c>
      <c r="L719" s="31">
        <v>0</v>
      </c>
      <c r="M719" s="31">
        <f t="shared" si="1"/>
        <v>1</v>
      </c>
    </row>
    <row r="720" spans="1:13" ht="13">
      <c r="A720" s="46" t="s">
        <v>1443</v>
      </c>
      <c r="B720" s="31" t="s">
        <v>62</v>
      </c>
      <c r="C720" s="33" t="s">
        <v>953</v>
      </c>
      <c r="D720" s="31">
        <v>0</v>
      </c>
      <c r="E720" s="31">
        <v>0</v>
      </c>
      <c r="F720" s="31" t="s">
        <v>1444</v>
      </c>
      <c r="G720" s="31">
        <v>0</v>
      </c>
      <c r="H720" s="31">
        <v>1</v>
      </c>
      <c r="I720" s="31" t="e">
        <f t="shared" ca="1" si="34"/>
        <v>#NAME?</v>
      </c>
      <c r="K720" s="31" t="s">
        <v>1445</v>
      </c>
      <c r="L720" s="31">
        <v>0</v>
      </c>
      <c r="M720" s="31">
        <f t="shared" si="1"/>
        <v>1</v>
      </c>
    </row>
    <row r="721" spans="1:13" ht="13">
      <c r="A721" s="46" t="s">
        <v>1446</v>
      </c>
      <c r="B721" s="31" t="s">
        <v>62</v>
      </c>
      <c r="C721" s="33" t="s">
        <v>951</v>
      </c>
      <c r="D721" s="31">
        <v>0</v>
      </c>
      <c r="E721" s="31">
        <v>1</v>
      </c>
      <c r="F721" s="31" t="s">
        <v>1447</v>
      </c>
      <c r="G721" s="31">
        <v>0</v>
      </c>
      <c r="H721" s="31">
        <v>1</v>
      </c>
      <c r="I721" s="31" t="e">
        <f t="shared" ca="1" si="34"/>
        <v>#NAME?</v>
      </c>
      <c r="L721" s="31">
        <v>0</v>
      </c>
      <c r="M721" s="31">
        <f t="shared" si="1"/>
        <v>1</v>
      </c>
    </row>
    <row r="722" spans="1:13" ht="13">
      <c r="A722" s="46" t="s">
        <v>1446</v>
      </c>
      <c r="B722" s="31" t="s">
        <v>62</v>
      </c>
      <c r="C722" s="31" t="s">
        <v>1448</v>
      </c>
      <c r="D722" s="31">
        <v>0</v>
      </c>
      <c r="E722" s="31">
        <v>1</v>
      </c>
      <c r="F722" s="31" t="s">
        <v>1449</v>
      </c>
      <c r="G722" s="31">
        <v>0</v>
      </c>
      <c r="H722" s="31">
        <v>1</v>
      </c>
      <c r="I722" s="31" t="e">
        <f t="shared" ca="1" si="34"/>
        <v>#NAME?</v>
      </c>
      <c r="K722" s="31" t="s">
        <v>1414</v>
      </c>
      <c r="M722" s="31">
        <f t="shared" si="1"/>
        <v>0</v>
      </c>
    </row>
    <row r="723" spans="1:13" ht="13">
      <c r="A723" s="46" t="s">
        <v>1450</v>
      </c>
      <c r="B723" s="31" t="s">
        <v>62</v>
      </c>
      <c r="C723" s="33" t="s">
        <v>950</v>
      </c>
      <c r="D723" s="31">
        <v>0</v>
      </c>
      <c r="E723" s="31">
        <v>0</v>
      </c>
      <c r="F723" s="31" t="s">
        <v>1451</v>
      </c>
      <c r="G723" s="31">
        <v>0</v>
      </c>
      <c r="H723" s="31">
        <v>1</v>
      </c>
      <c r="I723" s="31" t="e">
        <f t="shared" ca="1" si="34"/>
        <v>#NAME?</v>
      </c>
      <c r="L723" s="31">
        <v>0</v>
      </c>
      <c r="M723" s="31">
        <f t="shared" si="1"/>
        <v>1</v>
      </c>
    </row>
    <row r="724" spans="1:13" ht="13">
      <c r="A724" s="46" t="s">
        <v>1450</v>
      </c>
      <c r="B724" s="31" t="s">
        <v>62</v>
      </c>
      <c r="C724" s="31" t="s">
        <v>1452</v>
      </c>
      <c r="D724" s="31">
        <v>0</v>
      </c>
      <c r="E724" s="31">
        <v>0</v>
      </c>
      <c r="F724" s="31" t="s">
        <v>1453</v>
      </c>
      <c r="G724" s="31">
        <v>0</v>
      </c>
      <c r="H724" s="31">
        <v>1</v>
      </c>
      <c r="I724" s="31" t="e">
        <f t="shared" ca="1" si="34"/>
        <v>#NAME?</v>
      </c>
      <c r="M724" s="31">
        <f t="shared" si="1"/>
        <v>0</v>
      </c>
    </row>
    <row r="725" spans="1:13" ht="13">
      <c r="A725" s="46" t="s">
        <v>1454</v>
      </c>
      <c r="B725" s="31" t="s">
        <v>62</v>
      </c>
      <c r="C725" s="33" t="s">
        <v>949</v>
      </c>
      <c r="D725" s="31">
        <v>0</v>
      </c>
      <c r="E725" s="31">
        <v>0</v>
      </c>
      <c r="F725" s="31" t="s">
        <v>1455</v>
      </c>
      <c r="G725" s="31">
        <v>0</v>
      </c>
      <c r="H725" s="31">
        <v>1</v>
      </c>
      <c r="I725" s="31" t="e">
        <f t="shared" ca="1" si="34"/>
        <v>#NAME?</v>
      </c>
      <c r="L725" s="31">
        <v>1</v>
      </c>
      <c r="M725" s="31">
        <f t="shared" si="1"/>
        <v>1</v>
      </c>
    </row>
    <row r="726" spans="1:13" ht="13">
      <c r="A726" s="46" t="s">
        <v>1454</v>
      </c>
      <c r="B726" s="31" t="s">
        <v>62</v>
      </c>
      <c r="C726" s="31" t="s">
        <v>1456</v>
      </c>
      <c r="D726" s="31">
        <v>0</v>
      </c>
      <c r="E726" s="31">
        <v>0</v>
      </c>
      <c r="F726" s="31" t="s">
        <v>1457</v>
      </c>
      <c r="G726" s="31">
        <v>0</v>
      </c>
      <c r="H726" s="31">
        <v>1</v>
      </c>
      <c r="I726" s="31" t="e">
        <f t="shared" ca="1" si="34"/>
        <v>#NAME?</v>
      </c>
      <c r="M726" s="31">
        <f t="shared" si="1"/>
        <v>0</v>
      </c>
    </row>
    <row r="727" spans="1:13" ht="13">
      <c r="A727" s="46" t="s">
        <v>1454</v>
      </c>
      <c r="B727" s="31" t="s">
        <v>62</v>
      </c>
      <c r="C727" s="31" t="s">
        <v>1458</v>
      </c>
      <c r="D727" s="31">
        <v>0</v>
      </c>
      <c r="E727" s="31">
        <v>0</v>
      </c>
      <c r="F727" s="31" t="s">
        <v>1459</v>
      </c>
      <c r="G727" s="31">
        <v>0</v>
      </c>
      <c r="H727" s="31">
        <v>1</v>
      </c>
      <c r="I727" s="31" t="e">
        <f t="shared" ca="1" si="34"/>
        <v>#NAME?</v>
      </c>
      <c r="M727" s="31">
        <f t="shared" si="1"/>
        <v>0</v>
      </c>
    </row>
    <row r="728" spans="1:13" ht="13">
      <c r="A728" s="46" t="s">
        <v>1460</v>
      </c>
      <c r="B728" s="31" t="s">
        <v>62</v>
      </c>
      <c r="C728" s="33" t="s">
        <v>948</v>
      </c>
      <c r="D728" s="31">
        <v>0</v>
      </c>
      <c r="E728" s="31">
        <v>0</v>
      </c>
      <c r="F728" s="31" t="s">
        <v>1461</v>
      </c>
      <c r="G728" s="31">
        <v>0</v>
      </c>
      <c r="H728" s="31">
        <v>1</v>
      </c>
      <c r="I728" s="31" t="e">
        <f t="shared" ca="1" si="34"/>
        <v>#NAME?</v>
      </c>
      <c r="L728" s="31">
        <v>0</v>
      </c>
      <c r="M728" s="31">
        <f t="shared" si="1"/>
        <v>1</v>
      </c>
    </row>
    <row r="729" spans="1:13" ht="13">
      <c r="A729" s="46" t="s">
        <v>1460</v>
      </c>
      <c r="B729" s="31" t="s">
        <v>62</v>
      </c>
      <c r="C729" s="31" t="s">
        <v>1462</v>
      </c>
      <c r="D729" s="31">
        <v>0</v>
      </c>
      <c r="E729" s="31">
        <v>0</v>
      </c>
      <c r="F729" s="31" t="s">
        <v>1463</v>
      </c>
      <c r="G729" s="31">
        <v>0</v>
      </c>
      <c r="H729" s="31">
        <v>1</v>
      </c>
      <c r="I729" s="31" t="e">
        <f t="shared" ca="1" si="34"/>
        <v>#NAME?</v>
      </c>
      <c r="M729" s="31">
        <f t="shared" si="1"/>
        <v>0</v>
      </c>
    </row>
    <row r="730" spans="1:13" ht="13">
      <c r="A730" s="46" t="s">
        <v>1464</v>
      </c>
      <c r="B730" s="31" t="s">
        <v>62</v>
      </c>
      <c r="C730" s="33" t="s">
        <v>1465</v>
      </c>
      <c r="D730" s="31">
        <v>0</v>
      </c>
      <c r="E730" s="31">
        <v>0</v>
      </c>
      <c r="F730" s="31" t="s">
        <v>1466</v>
      </c>
      <c r="G730" s="31">
        <v>0</v>
      </c>
      <c r="H730" s="31">
        <v>1</v>
      </c>
      <c r="I730" s="31" t="e">
        <f t="shared" ca="1" si="34"/>
        <v>#NAME?</v>
      </c>
      <c r="L730" s="31">
        <v>0</v>
      </c>
      <c r="M730" s="31">
        <f t="shared" si="1"/>
        <v>1</v>
      </c>
    </row>
    <row r="731" spans="1:13" ht="13">
      <c r="A731" s="46" t="s">
        <v>1464</v>
      </c>
      <c r="B731" s="31" t="s">
        <v>62</v>
      </c>
      <c r="C731" s="31" t="s">
        <v>1467</v>
      </c>
      <c r="D731" s="31">
        <v>0</v>
      </c>
      <c r="E731" s="31">
        <v>0</v>
      </c>
      <c r="F731" s="31" t="s">
        <v>1468</v>
      </c>
      <c r="G731" s="31">
        <v>0</v>
      </c>
      <c r="H731" s="31">
        <v>1</v>
      </c>
      <c r="I731" s="31" t="e">
        <f t="shared" ca="1" si="34"/>
        <v>#NAME?</v>
      </c>
      <c r="M731" s="31">
        <f t="shared" si="1"/>
        <v>0</v>
      </c>
    </row>
    <row r="732" spans="1:13" ht="13">
      <c r="A732" s="46" t="s">
        <v>1464</v>
      </c>
      <c r="B732" s="31" t="s">
        <v>62</v>
      </c>
      <c r="C732" s="31" t="s">
        <v>1469</v>
      </c>
      <c r="D732" s="31">
        <v>0</v>
      </c>
      <c r="E732" s="31">
        <v>0</v>
      </c>
      <c r="F732" s="31" t="s">
        <v>1470</v>
      </c>
      <c r="G732" s="31">
        <v>0</v>
      </c>
      <c r="H732" s="31">
        <v>1</v>
      </c>
      <c r="I732" s="31" t="e">
        <f t="shared" ca="1" si="34"/>
        <v>#NAME?</v>
      </c>
      <c r="M732" s="31">
        <f t="shared" si="1"/>
        <v>0</v>
      </c>
    </row>
    <row r="733" spans="1:13" ht="13">
      <c r="A733" s="46" t="s">
        <v>1464</v>
      </c>
      <c r="B733" s="31" t="s">
        <v>62</v>
      </c>
      <c r="C733" s="31" t="s">
        <v>1471</v>
      </c>
      <c r="D733" s="31">
        <v>0</v>
      </c>
      <c r="E733" s="31">
        <v>0</v>
      </c>
      <c r="F733" s="31" t="s">
        <v>1472</v>
      </c>
      <c r="G733" s="31">
        <v>0</v>
      </c>
      <c r="H733" s="31">
        <v>1</v>
      </c>
      <c r="I733" s="31" t="e">
        <f t="shared" ca="1" si="34"/>
        <v>#NAME?</v>
      </c>
      <c r="M733" s="31">
        <f t="shared" si="1"/>
        <v>0</v>
      </c>
    </row>
    <row r="734" spans="1:13" ht="13">
      <c r="G734" s="34"/>
      <c r="I734" s="31" t="str">
        <f t="shared" si="34"/>
        <v/>
      </c>
    </row>
    <row r="735" spans="1:13" ht="13">
      <c r="G735" s="34"/>
      <c r="I735" s="31" t="str">
        <f t="shared" si="34"/>
        <v/>
      </c>
    </row>
    <row r="736" spans="1:13" ht="13">
      <c r="G736" s="34"/>
      <c r="I736" s="31" t="str">
        <f t="shared" si="34"/>
        <v/>
      </c>
    </row>
    <row r="737" spans="7:9" ht="13">
      <c r="G737" s="34"/>
      <c r="I737" s="31" t="str">
        <f t="shared" si="34"/>
        <v/>
      </c>
    </row>
    <row r="738" spans="7:9" ht="13">
      <c r="G738" s="34"/>
      <c r="I738" s="31" t="str">
        <f t="shared" si="34"/>
        <v/>
      </c>
    </row>
    <row r="739" spans="7:9" ht="13">
      <c r="G739" s="34"/>
      <c r="I739" s="31" t="str">
        <f t="shared" si="34"/>
        <v/>
      </c>
    </row>
    <row r="740" spans="7:9" ht="13">
      <c r="G740" s="34"/>
      <c r="I740" s="31" t="str">
        <f t="shared" si="34"/>
        <v/>
      </c>
    </row>
    <row r="741" spans="7:9" ht="13">
      <c r="G741" s="34"/>
      <c r="I741" s="31" t="str">
        <f t="shared" si="34"/>
        <v/>
      </c>
    </row>
    <row r="742" spans="7:9" ht="13">
      <c r="G742" s="34"/>
      <c r="I742" s="31" t="str">
        <f t="shared" si="34"/>
        <v/>
      </c>
    </row>
    <row r="743" spans="7:9" ht="13">
      <c r="G743" s="34"/>
      <c r="I743" s="31" t="str">
        <f t="shared" si="34"/>
        <v/>
      </c>
    </row>
    <row r="744" spans="7:9" ht="13">
      <c r="G744" s="34"/>
      <c r="I744" s="31" t="str">
        <f t="shared" si="34"/>
        <v/>
      </c>
    </row>
    <row r="745" spans="7:9" ht="13">
      <c r="G745" s="34"/>
      <c r="I745" s="31" t="str">
        <f t="shared" si="34"/>
        <v/>
      </c>
    </row>
    <row r="746" spans="7:9" ht="13">
      <c r="G746" s="34"/>
      <c r="I746" s="31" t="str">
        <f t="shared" si="34"/>
        <v/>
      </c>
    </row>
    <row r="747" spans="7:9" ht="13">
      <c r="G747" s="34"/>
      <c r="I747" s="31" t="str">
        <f t="shared" si="34"/>
        <v/>
      </c>
    </row>
    <row r="748" spans="7:9" ht="13">
      <c r="G748" s="34"/>
      <c r="I748" s="31" t="str">
        <f t="shared" si="34"/>
        <v/>
      </c>
    </row>
    <row r="749" spans="7:9" ht="13">
      <c r="G749" s="34"/>
      <c r="I749" s="31" t="str">
        <f t="shared" si="34"/>
        <v/>
      </c>
    </row>
    <row r="750" spans="7:9" ht="13">
      <c r="G750" s="34"/>
      <c r="I750" s="31" t="str">
        <f t="shared" si="34"/>
        <v/>
      </c>
    </row>
    <row r="751" spans="7:9" ht="13">
      <c r="G751" s="34"/>
      <c r="I751" s="31" t="str">
        <f t="shared" si="34"/>
        <v/>
      </c>
    </row>
    <row r="752" spans="7:9" ht="13">
      <c r="G752" s="34"/>
      <c r="I752" s="31" t="str">
        <f t="shared" si="34"/>
        <v/>
      </c>
    </row>
    <row r="753" spans="7:9" ht="13">
      <c r="G753" s="34"/>
      <c r="I753" s="31" t="str">
        <f t="shared" si="34"/>
        <v/>
      </c>
    </row>
    <row r="754" spans="7:9" ht="13">
      <c r="G754" s="34"/>
      <c r="I754" s="31" t="str">
        <f t="shared" si="34"/>
        <v/>
      </c>
    </row>
    <row r="755" spans="7:9" ht="13">
      <c r="G755" s="34"/>
      <c r="I755" s="31" t="str">
        <f t="shared" si="34"/>
        <v/>
      </c>
    </row>
    <row r="756" spans="7:9" ht="13">
      <c r="G756" s="34"/>
      <c r="I756" s="31" t="str">
        <f t="shared" si="34"/>
        <v/>
      </c>
    </row>
    <row r="757" spans="7:9" ht="13">
      <c r="G757" s="34"/>
      <c r="I757" s="31" t="str">
        <f t="shared" si="34"/>
        <v/>
      </c>
    </row>
    <row r="758" spans="7:9" ht="13">
      <c r="G758" s="34"/>
      <c r="I758" s="31" t="str">
        <f t="shared" si="34"/>
        <v/>
      </c>
    </row>
    <row r="759" spans="7:9" ht="13">
      <c r="G759" s="34"/>
      <c r="I759" s="31" t="str">
        <f t="shared" si="34"/>
        <v/>
      </c>
    </row>
    <row r="760" spans="7:9" ht="13">
      <c r="G760" s="34"/>
      <c r="I760" s="31" t="str">
        <f t="shared" si="34"/>
        <v/>
      </c>
    </row>
    <row r="761" spans="7:9" ht="13">
      <c r="G761" s="34"/>
      <c r="I761" s="31" t="str">
        <f t="shared" si="34"/>
        <v/>
      </c>
    </row>
    <row r="762" spans="7:9" ht="13">
      <c r="G762" s="34"/>
      <c r="I762" s="31" t="str">
        <f t="shared" si="34"/>
        <v/>
      </c>
    </row>
    <row r="763" spans="7:9" ht="13">
      <c r="G763" s="34"/>
      <c r="I763" s="31" t="str">
        <f t="shared" si="34"/>
        <v/>
      </c>
    </row>
    <row r="764" spans="7:9" ht="13">
      <c r="G764" s="34"/>
      <c r="I764" s="31" t="str">
        <f t="shared" si="34"/>
        <v/>
      </c>
    </row>
    <row r="765" spans="7:9" ht="13">
      <c r="G765" s="34"/>
      <c r="I765" s="31" t="str">
        <f t="shared" si="34"/>
        <v/>
      </c>
    </row>
    <row r="766" spans="7:9" ht="13">
      <c r="G766" s="34"/>
      <c r="I766" s="31" t="str">
        <f t="shared" si="34"/>
        <v/>
      </c>
    </row>
    <row r="767" spans="7:9" ht="13">
      <c r="G767" s="34"/>
      <c r="I767" s="31" t="str">
        <f t="shared" si="34"/>
        <v/>
      </c>
    </row>
    <row r="768" spans="7:9" ht="13">
      <c r="G768" s="34"/>
      <c r="I768" s="31" t="str">
        <f t="shared" si="34"/>
        <v/>
      </c>
    </row>
    <row r="769" spans="7:9" ht="13">
      <c r="G769" s="34"/>
      <c r="I769" s="31" t="str">
        <f t="shared" si="34"/>
        <v/>
      </c>
    </row>
    <row r="770" spans="7:9" ht="13">
      <c r="G770" s="34"/>
      <c r="I770" s="31" t="str">
        <f t="shared" si="34"/>
        <v/>
      </c>
    </row>
    <row r="771" spans="7:9" ht="13">
      <c r="G771" s="34"/>
      <c r="I771" s="31" t="str">
        <f t="shared" si="34"/>
        <v/>
      </c>
    </row>
    <row r="772" spans="7:9" ht="13">
      <c r="G772" s="34"/>
      <c r="I772" s="31" t="str">
        <f t="shared" si="34"/>
        <v/>
      </c>
    </row>
    <row r="773" spans="7:9" ht="13">
      <c r="G773" s="34"/>
      <c r="I773" s="31" t="str">
        <f t="shared" si="34"/>
        <v/>
      </c>
    </row>
    <row r="774" spans="7:9" ht="13">
      <c r="G774" s="34"/>
      <c r="I774" s="31" t="str">
        <f t="shared" si="34"/>
        <v/>
      </c>
    </row>
    <row r="775" spans="7:9" ht="13">
      <c r="G775" s="34"/>
      <c r="I775" s="31" t="str">
        <f t="shared" si="34"/>
        <v/>
      </c>
    </row>
    <row r="776" spans="7:9" ht="13">
      <c r="G776" s="34"/>
      <c r="I776" s="31" t="str">
        <f t="shared" si="34"/>
        <v/>
      </c>
    </row>
    <row r="777" spans="7:9" ht="13">
      <c r="G777" s="34"/>
      <c r="I777" s="31" t="str">
        <f t="shared" si="34"/>
        <v/>
      </c>
    </row>
    <row r="778" spans="7:9" ht="13">
      <c r="G778" s="34"/>
      <c r="I778" s="31" t="str">
        <f t="shared" si="34"/>
        <v/>
      </c>
    </row>
    <row r="779" spans="7:9" ht="13">
      <c r="G779" s="34"/>
      <c r="I779" s="31" t="str">
        <f t="shared" si="34"/>
        <v/>
      </c>
    </row>
    <row r="780" spans="7:9" ht="13">
      <c r="G780" s="34"/>
      <c r="I780" s="31" t="str">
        <f t="shared" si="34"/>
        <v/>
      </c>
    </row>
    <row r="781" spans="7:9" ht="13">
      <c r="G781" s="34"/>
      <c r="I781" s="31" t="str">
        <f t="shared" si="34"/>
        <v/>
      </c>
    </row>
    <row r="782" spans="7:9" ht="13">
      <c r="G782" s="34"/>
      <c r="I782" s="31" t="str">
        <f t="shared" si="34"/>
        <v/>
      </c>
    </row>
    <row r="783" spans="7:9" ht="13">
      <c r="G783" s="34"/>
      <c r="I783" s="31" t="str">
        <f t="shared" si="34"/>
        <v/>
      </c>
    </row>
    <row r="784" spans="7:9" ht="13">
      <c r="G784" s="34"/>
      <c r="I784" s="31" t="str">
        <f t="shared" si="34"/>
        <v/>
      </c>
    </row>
    <row r="785" spans="7:9" ht="13">
      <c r="G785" s="34"/>
      <c r="I785" s="31" t="str">
        <f t="shared" si="34"/>
        <v/>
      </c>
    </row>
    <row r="786" spans="7:9" ht="13">
      <c r="G786" s="34"/>
      <c r="I786" s="31" t="str">
        <f t="shared" si="34"/>
        <v/>
      </c>
    </row>
    <row r="787" spans="7:9" ht="13">
      <c r="G787" s="34"/>
      <c r="I787" s="31" t="str">
        <f t="shared" si="34"/>
        <v/>
      </c>
    </row>
    <row r="788" spans="7:9" ht="13">
      <c r="G788" s="34"/>
      <c r="I788" s="31" t="str">
        <f t="shared" si="34"/>
        <v/>
      </c>
    </row>
    <row r="789" spans="7:9" ht="13">
      <c r="G789" s="34"/>
      <c r="I789" s="31" t="str">
        <f t="shared" si="34"/>
        <v/>
      </c>
    </row>
    <row r="790" spans="7:9" ht="13">
      <c r="G790" s="34"/>
      <c r="I790" s="31" t="str">
        <f t="shared" si="34"/>
        <v/>
      </c>
    </row>
    <row r="791" spans="7:9" ht="13">
      <c r="G791" s="34"/>
      <c r="I791" s="31" t="str">
        <f t="shared" si="34"/>
        <v/>
      </c>
    </row>
    <row r="792" spans="7:9" ht="13">
      <c r="G792" s="34"/>
      <c r="I792" s="31" t="str">
        <f t="shared" si="34"/>
        <v/>
      </c>
    </row>
    <row r="793" spans="7:9" ht="13">
      <c r="G793" s="34"/>
      <c r="I793" s="31" t="str">
        <f t="shared" si="34"/>
        <v/>
      </c>
    </row>
    <row r="794" spans="7:9" ht="13">
      <c r="G794" s="34"/>
      <c r="I794" s="31" t="str">
        <f t="shared" si="34"/>
        <v/>
      </c>
    </row>
    <row r="795" spans="7:9" ht="13">
      <c r="G795" s="34"/>
      <c r="I795" s="31" t="str">
        <f t="shared" si="34"/>
        <v/>
      </c>
    </row>
    <row r="796" spans="7:9" ht="13">
      <c r="G796" s="34"/>
      <c r="I796" s="31" t="str">
        <f t="shared" si="34"/>
        <v/>
      </c>
    </row>
    <row r="797" spans="7:9" ht="13">
      <c r="G797" s="34"/>
      <c r="I797" s="31" t="str">
        <f t="shared" si="34"/>
        <v/>
      </c>
    </row>
    <row r="798" spans="7:9" ht="13">
      <c r="G798" s="34"/>
      <c r="I798" s="31" t="str">
        <f t="shared" si="34"/>
        <v/>
      </c>
    </row>
    <row r="799" spans="7:9" ht="13">
      <c r="G799" s="34"/>
      <c r="I799" s="31" t="str">
        <f t="shared" si="34"/>
        <v/>
      </c>
    </row>
    <row r="800" spans="7:9" ht="13">
      <c r="G800" s="34"/>
      <c r="I800" s="31" t="str">
        <f t="shared" si="34"/>
        <v/>
      </c>
    </row>
    <row r="801" spans="7:9" ht="13">
      <c r="G801" s="34"/>
      <c r="I801" s="31" t="str">
        <f t="shared" si="34"/>
        <v/>
      </c>
    </row>
    <row r="802" spans="7:9" ht="13">
      <c r="G802" s="34"/>
      <c r="I802" s="31" t="str">
        <f t="shared" si="34"/>
        <v/>
      </c>
    </row>
    <row r="803" spans="7:9" ht="13">
      <c r="G803" s="34"/>
      <c r="I803" s="31" t="str">
        <f t="shared" si="34"/>
        <v/>
      </c>
    </row>
    <row r="804" spans="7:9" ht="13">
      <c r="G804" s="34"/>
      <c r="I804" s="31" t="str">
        <f t="shared" si="34"/>
        <v/>
      </c>
    </row>
    <row r="805" spans="7:9" ht="13">
      <c r="G805" s="34"/>
      <c r="I805" s="31" t="str">
        <f t="shared" si="34"/>
        <v/>
      </c>
    </row>
    <row r="806" spans="7:9" ht="13">
      <c r="G806" s="34"/>
      <c r="I806" s="31" t="str">
        <f t="shared" si="34"/>
        <v/>
      </c>
    </row>
    <row r="807" spans="7:9" ht="13">
      <c r="G807" s="34"/>
      <c r="I807" s="31" t="str">
        <f t="shared" si="34"/>
        <v/>
      </c>
    </row>
    <row r="808" spans="7:9" ht="13">
      <c r="G808" s="34"/>
      <c r="I808" s="31" t="str">
        <f t="shared" si="34"/>
        <v/>
      </c>
    </row>
    <row r="809" spans="7:9" ht="13">
      <c r="G809" s="34"/>
      <c r="I809" s="31" t="str">
        <f t="shared" si="34"/>
        <v/>
      </c>
    </row>
    <row r="810" spans="7:9" ht="13">
      <c r="G810" s="34"/>
      <c r="I810" s="31" t="str">
        <f t="shared" si="34"/>
        <v/>
      </c>
    </row>
    <row r="811" spans="7:9" ht="13">
      <c r="G811" s="34"/>
      <c r="I811" s="31" t="str">
        <f t="shared" si="34"/>
        <v/>
      </c>
    </row>
    <row r="812" spans="7:9" ht="13">
      <c r="G812" s="34"/>
      <c r="I812" s="31" t="str">
        <f t="shared" si="34"/>
        <v/>
      </c>
    </row>
    <row r="813" spans="7:9" ht="13">
      <c r="G813" s="34"/>
      <c r="I813" s="31" t="str">
        <f t="shared" si="34"/>
        <v/>
      </c>
    </row>
    <row r="814" spans="7:9" ht="13">
      <c r="G814" s="34"/>
      <c r="I814" s="31" t="str">
        <f t="shared" si="34"/>
        <v/>
      </c>
    </row>
    <row r="815" spans="7:9" ht="13">
      <c r="G815" s="34"/>
      <c r="I815" s="31" t="str">
        <f t="shared" si="34"/>
        <v/>
      </c>
    </row>
    <row r="816" spans="7:9" ht="13">
      <c r="G816" s="34"/>
      <c r="I816" s="31" t="str">
        <f t="shared" si="34"/>
        <v/>
      </c>
    </row>
    <row r="817" spans="7:9" ht="13">
      <c r="G817" s="34"/>
      <c r="I817" s="31" t="str">
        <f t="shared" si="34"/>
        <v/>
      </c>
    </row>
    <row r="818" spans="7:9" ht="13">
      <c r="G818" s="34"/>
      <c r="I818" s="31" t="str">
        <f t="shared" si="34"/>
        <v/>
      </c>
    </row>
    <row r="819" spans="7:9" ht="13">
      <c r="G819" s="34"/>
      <c r="I819" s="31" t="str">
        <f t="shared" si="34"/>
        <v/>
      </c>
    </row>
    <row r="820" spans="7:9" ht="13">
      <c r="G820" s="34"/>
      <c r="I820" s="31" t="str">
        <f t="shared" si="34"/>
        <v/>
      </c>
    </row>
    <row r="821" spans="7:9" ht="13">
      <c r="G821" s="34"/>
      <c r="I821" s="31" t="str">
        <f t="shared" si="34"/>
        <v/>
      </c>
    </row>
    <row r="822" spans="7:9" ht="13">
      <c r="G822" s="34"/>
      <c r="I822" s="31" t="str">
        <f t="shared" si="34"/>
        <v/>
      </c>
    </row>
    <row r="823" spans="7:9" ht="13">
      <c r="G823" s="34"/>
      <c r="I823" s="31" t="str">
        <f t="shared" si="34"/>
        <v/>
      </c>
    </row>
    <row r="824" spans="7:9" ht="13">
      <c r="G824" s="34"/>
      <c r="I824" s="31" t="str">
        <f t="shared" si="34"/>
        <v/>
      </c>
    </row>
    <row r="825" spans="7:9" ht="13">
      <c r="G825" s="34"/>
      <c r="I825" s="31" t="str">
        <f t="shared" si="34"/>
        <v/>
      </c>
    </row>
    <row r="826" spans="7:9" ht="13">
      <c r="G826" s="34"/>
      <c r="I826" s="31" t="str">
        <f t="shared" si="34"/>
        <v/>
      </c>
    </row>
    <row r="827" spans="7:9" ht="13">
      <c r="G827" s="34"/>
      <c r="I827" s="31" t="str">
        <f t="shared" si="34"/>
        <v/>
      </c>
    </row>
    <row r="828" spans="7:9" ht="13">
      <c r="G828" s="34"/>
      <c r="I828" s="31" t="str">
        <f t="shared" si="34"/>
        <v/>
      </c>
    </row>
    <row r="829" spans="7:9" ht="13">
      <c r="G829" s="34"/>
      <c r="I829" s="31" t="str">
        <f t="shared" si="34"/>
        <v/>
      </c>
    </row>
    <row r="830" spans="7:9" ht="13">
      <c r="G830" s="34"/>
      <c r="I830" s="31" t="str">
        <f t="shared" si="34"/>
        <v/>
      </c>
    </row>
    <row r="831" spans="7:9" ht="13">
      <c r="G831" s="34"/>
      <c r="I831" s="31" t="str">
        <f t="shared" si="34"/>
        <v/>
      </c>
    </row>
    <row r="832" spans="7:9" ht="13">
      <c r="G832" s="34"/>
      <c r="I832" s="31" t="str">
        <f t="shared" si="34"/>
        <v/>
      </c>
    </row>
    <row r="833" spans="7:9" ht="13">
      <c r="G833" s="34"/>
      <c r="I833" s="31" t="str">
        <f t="shared" si="34"/>
        <v/>
      </c>
    </row>
    <row r="834" spans="7:9" ht="13">
      <c r="G834" s="34"/>
      <c r="I834" s="31" t="str">
        <f t="shared" si="34"/>
        <v/>
      </c>
    </row>
    <row r="835" spans="7:9" ht="13">
      <c r="G835" s="34"/>
      <c r="I835" s="31" t="str">
        <f t="shared" si="34"/>
        <v/>
      </c>
    </row>
    <row r="836" spans="7:9" ht="13">
      <c r="G836" s="34"/>
      <c r="I836" s="31" t="str">
        <f t="shared" si="34"/>
        <v/>
      </c>
    </row>
    <row r="837" spans="7:9" ht="13">
      <c r="G837" s="34"/>
      <c r="I837" s="31" t="str">
        <f t="shared" si="34"/>
        <v/>
      </c>
    </row>
    <row r="838" spans="7:9" ht="13">
      <c r="G838" s="34"/>
      <c r="I838" s="31" t="str">
        <f t="shared" si="34"/>
        <v/>
      </c>
    </row>
    <row r="839" spans="7:9" ht="13">
      <c r="G839" s="34"/>
      <c r="I839" s="31" t="str">
        <f t="shared" si="34"/>
        <v/>
      </c>
    </row>
    <row r="840" spans="7:9" ht="13">
      <c r="G840" s="34"/>
      <c r="I840" s="31" t="str">
        <f t="shared" si="34"/>
        <v/>
      </c>
    </row>
    <row r="841" spans="7:9" ht="13">
      <c r="G841" s="34"/>
      <c r="I841" s="31" t="str">
        <f t="shared" si="34"/>
        <v/>
      </c>
    </row>
    <row r="842" spans="7:9" ht="13">
      <c r="G842" s="34"/>
      <c r="I842" s="31" t="str">
        <f t="shared" si="34"/>
        <v/>
      </c>
    </row>
    <row r="843" spans="7:9" ht="13">
      <c r="G843" s="34"/>
      <c r="I843" s="31" t="str">
        <f t="shared" si="34"/>
        <v/>
      </c>
    </row>
    <row r="844" spans="7:9" ht="13">
      <c r="G844" s="34"/>
      <c r="I844" s="31" t="str">
        <f t="shared" si="34"/>
        <v/>
      </c>
    </row>
    <row r="845" spans="7:9" ht="13">
      <c r="G845" s="34"/>
      <c r="I845" s="31" t="str">
        <f t="shared" si="34"/>
        <v/>
      </c>
    </row>
    <row r="846" spans="7:9" ht="13">
      <c r="G846" s="34"/>
      <c r="I846" s="31" t="str">
        <f t="shared" si="34"/>
        <v/>
      </c>
    </row>
    <row r="847" spans="7:9" ht="13">
      <c r="G847" s="34"/>
      <c r="I847" s="31" t="str">
        <f t="shared" si="34"/>
        <v/>
      </c>
    </row>
    <row r="848" spans="7:9" ht="13">
      <c r="G848" s="34"/>
      <c r="I848" s="31" t="str">
        <f t="shared" si="34"/>
        <v/>
      </c>
    </row>
    <row r="849" spans="7:9" ht="13">
      <c r="G849" s="34"/>
      <c r="I849" s="31" t="str">
        <f t="shared" si="34"/>
        <v/>
      </c>
    </row>
    <row r="850" spans="7:9" ht="13">
      <c r="G850" s="34"/>
      <c r="I850" s="31" t="str">
        <f t="shared" si="34"/>
        <v/>
      </c>
    </row>
    <row r="851" spans="7:9" ht="13">
      <c r="G851" s="34"/>
      <c r="I851" s="31" t="str">
        <f t="shared" si="34"/>
        <v/>
      </c>
    </row>
    <row r="852" spans="7:9" ht="13">
      <c r="G852" s="34"/>
      <c r="I852" s="31" t="str">
        <f t="shared" si="34"/>
        <v/>
      </c>
    </row>
    <row r="853" spans="7:9" ht="13">
      <c r="G853" s="34"/>
      <c r="I853" s="31" t="str">
        <f t="shared" si="34"/>
        <v/>
      </c>
    </row>
    <row r="854" spans="7:9" ht="13">
      <c r="G854" s="34"/>
      <c r="I854" s="31" t="str">
        <f t="shared" si="34"/>
        <v/>
      </c>
    </row>
    <row r="855" spans="7:9" ht="13">
      <c r="G855" s="34"/>
      <c r="I855" s="31" t="str">
        <f t="shared" si="34"/>
        <v/>
      </c>
    </row>
    <row r="856" spans="7:9" ht="13">
      <c r="G856" s="34"/>
      <c r="I856" s="31" t="str">
        <f t="shared" si="34"/>
        <v/>
      </c>
    </row>
    <row r="857" spans="7:9" ht="13">
      <c r="G857" s="34"/>
      <c r="I857" s="31" t="str">
        <f t="shared" si="34"/>
        <v/>
      </c>
    </row>
    <row r="858" spans="7:9" ht="13">
      <c r="G858" s="34"/>
      <c r="I858" s="31" t="str">
        <f t="shared" si="34"/>
        <v/>
      </c>
    </row>
    <row r="859" spans="7:9" ht="13">
      <c r="G859" s="34"/>
      <c r="I859" s="31" t="str">
        <f t="shared" si="34"/>
        <v/>
      </c>
    </row>
    <row r="860" spans="7:9" ht="13">
      <c r="G860" s="34"/>
      <c r="I860" s="31" t="str">
        <f t="shared" si="34"/>
        <v/>
      </c>
    </row>
    <row r="861" spans="7:9" ht="13">
      <c r="G861" s="34"/>
      <c r="I861" s="31" t="str">
        <f t="shared" si="34"/>
        <v/>
      </c>
    </row>
    <row r="862" spans="7:9" ht="13">
      <c r="G862" s="34"/>
      <c r="I862" s="31" t="str">
        <f t="shared" si="34"/>
        <v/>
      </c>
    </row>
    <row r="863" spans="7:9" ht="13">
      <c r="G863" s="34"/>
      <c r="I863" s="31" t="str">
        <f t="shared" si="34"/>
        <v/>
      </c>
    </row>
    <row r="864" spans="7:9" ht="13">
      <c r="G864" s="34"/>
      <c r="I864" s="31" t="str">
        <f t="shared" si="34"/>
        <v/>
      </c>
    </row>
    <row r="865" spans="7:9" ht="13">
      <c r="G865" s="34"/>
      <c r="I865" s="31" t="str">
        <f t="shared" si="34"/>
        <v/>
      </c>
    </row>
    <row r="866" spans="7:9" ht="13">
      <c r="G866" s="34"/>
      <c r="I866" s="31" t="str">
        <f t="shared" si="34"/>
        <v/>
      </c>
    </row>
    <row r="867" spans="7:9" ht="13">
      <c r="G867" s="34"/>
      <c r="I867" s="31" t="str">
        <f t="shared" si="34"/>
        <v/>
      </c>
    </row>
    <row r="868" spans="7:9" ht="13">
      <c r="G868" s="34"/>
      <c r="I868" s="31" t="str">
        <f t="shared" si="34"/>
        <v/>
      </c>
    </row>
    <row r="869" spans="7:9" ht="13">
      <c r="G869" s="34"/>
      <c r="I869" s="31" t="str">
        <f t="shared" si="34"/>
        <v/>
      </c>
    </row>
    <row r="870" spans="7:9" ht="13">
      <c r="G870" s="34"/>
      <c r="I870" s="31" t="str">
        <f t="shared" si="34"/>
        <v/>
      </c>
    </row>
    <row r="871" spans="7:9" ht="13">
      <c r="G871" s="34"/>
      <c r="I871" s="31" t="str">
        <f t="shared" si="34"/>
        <v/>
      </c>
    </row>
    <row r="872" spans="7:9" ht="13">
      <c r="G872" s="34"/>
      <c r="I872" s="31" t="str">
        <f t="shared" si="34"/>
        <v/>
      </c>
    </row>
    <row r="873" spans="7:9" ht="13">
      <c r="G873" s="34"/>
      <c r="I873" s="31" t="str">
        <f t="shared" si="34"/>
        <v/>
      </c>
    </row>
    <row r="874" spans="7:9" ht="13">
      <c r="G874" s="34"/>
      <c r="I874" s="31" t="str">
        <f t="shared" si="34"/>
        <v/>
      </c>
    </row>
    <row r="875" spans="7:9" ht="13">
      <c r="G875" s="34"/>
      <c r="I875" s="31" t="str">
        <f t="shared" si="34"/>
        <v/>
      </c>
    </row>
    <row r="876" spans="7:9" ht="13">
      <c r="G876" s="34"/>
      <c r="I876" s="31" t="str">
        <f t="shared" si="34"/>
        <v/>
      </c>
    </row>
    <row r="877" spans="7:9" ht="13">
      <c r="G877" s="34"/>
      <c r="I877" s="31" t="str">
        <f t="shared" si="34"/>
        <v/>
      </c>
    </row>
    <row r="878" spans="7:9" ht="13">
      <c r="G878" s="34"/>
      <c r="I878" s="31" t="str">
        <f t="shared" si="34"/>
        <v/>
      </c>
    </row>
    <row r="879" spans="7:9" ht="13">
      <c r="G879" s="34"/>
      <c r="I879" s="31" t="str">
        <f t="shared" si="34"/>
        <v/>
      </c>
    </row>
    <row r="880" spans="7:9" ht="13">
      <c r="G880" s="34"/>
      <c r="I880" s="31" t="str">
        <f t="shared" si="34"/>
        <v/>
      </c>
    </row>
    <row r="881" spans="7:9" ht="13">
      <c r="G881" s="34"/>
      <c r="I881" s="31" t="str">
        <f t="shared" si="34"/>
        <v/>
      </c>
    </row>
    <row r="882" spans="7:9" ht="13">
      <c r="G882" s="34"/>
      <c r="I882" s="31" t="str">
        <f t="shared" si="34"/>
        <v/>
      </c>
    </row>
    <row r="883" spans="7:9" ht="13">
      <c r="G883" s="34"/>
      <c r="I883" s="31" t="str">
        <f t="shared" si="34"/>
        <v/>
      </c>
    </row>
    <row r="884" spans="7:9" ht="13">
      <c r="G884" s="34"/>
      <c r="I884" s="31" t="str">
        <f t="shared" si="34"/>
        <v/>
      </c>
    </row>
    <row r="885" spans="7:9" ht="13">
      <c r="G885" s="34"/>
      <c r="I885" s="31" t="str">
        <f t="shared" si="34"/>
        <v/>
      </c>
    </row>
    <row r="886" spans="7:9" ht="13">
      <c r="G886" s="34"/>
      <c r="I886" s="31" t="str">
        <f t="shared" si="34"/>
        <v/>
      </c>
    </row>
    <row r="887" spans="7:9" ht="13">
      <c r="G887" s="34"/>
      <c r="I887" s="31" t="str">
        <f t="shared" si="34"/>
        <v/>
      </c>
    </row>
    <row r="888" spans="7:9" ht="13">
      <c r="G888" s="34"/>
      <c r="I888" s="31" t="str">
        <f t="shared" si="34"/>
        <v/>
      </c>
    </row>
    <row r="889" spans="7:9" ht="13">
      <c r="G889" s="34"/>
      <c r="I889" s="31" t="str">
        <f t="shared" si="34"/>
        <v/>
      </c>
    </row>
    <row r="890" spans="7:9" ht="13">
      <c r="G890" s="34"/>
      <c r="I890" s="31" t="str">
        <f t="shared" si="34"/>
        <v/>
      </c>
    </row>
    <row r="891" spans="7:9" ht="13">
      <c r="G891" s="34"/>
      <c r="I891" s="31" t="str">
        <f t="shared" si="34"/>
        <v/>
      </c>
    </row>
    <row r="892" spans="7:9" ht="13">
      <c r="G892" s="34"/>
      <c r="I892" s="31" t="str">
        <f t="shared" si="34"/>
        <v/>
      </c>
    </row>
    <row r="893" spans="7:9" ht="13">
      <c r="G893" s="34"/>
      <c r="I893" s="31" t="str">
        <f t="shared" si="34"/>
        <v/>
      </c>
    </row>
    <row r="894" spans="7:9" ht="13">
      <c r="G894" s="34"/>
      <c r="I894" s="31" t="str">
        <f t="shared" si="34"/>
        <v/>
      </c>
    </row>
    <row r="895" spans="7:9" ht="13">
      <c r="G895" s="34"/>
      <c r="I895" s="31" t="str">
        <f t="shared" si="34"/>
        <v/>
      </c>
    </row>
    <row r="896" spans="7:9" ht="13">
      <c r="G896" s="34"/>
      <c r="I896" s="31" t="str">
        <f t="shared" si="34"/>
        <v/>
      </c>
    </row>
    <row r="897" spans="7:9" ht="13">
      <c r="G897" s="34"/>
      <c r="I897" s="31" t="str">
        <f t="shared" si="34"/>
        <v/>
      </c>
    </row>
    <row r="898" spans="7:9" ht="13">
      <c r="G898" s="34"/>
      <c r="I898" s="31" t="str">
        <f t="shared" si="34"/>
        <v/>
      </c>
    </row>
    <row r="899" spans="7:9" ht="13">
      <c r="G899" s="34"/>
      <c r="I899" s="31" t="str">
        <f t="shared" si="34"/>
        <v/>
      </c>
    </row>
    <row r="900" spans="7:9" ht="13">
      <c r="G900" s="34"/>
      <c r="I900" s="31" t="str">
        <f t="shared" si="34"/>
        <v/>
      </c>
    </row>
    <row r="901" spans="7:9" ht="13">
      <c r="G901" s="34"/>
      <c r="I901" s="31" t="str">
        <f t="shared" si="34"/>
        <v/>
      </c>
    </row>
    <row r="902" spans="7:9" ht="13">
      <c r="G902" s="34"/>
      <c r="I902" s="31" t="str">
        <f t="shared" si="34"/>
        <v/>
      </c>
    </row>
    <row r="903" spans="7:9" ht="13">
      <c r="G903" s="34"/>
      <c r="I903" s="31" t="str">
        <f t="shared" si="34"/>
        <v/>
      </c>
    </row>
    <row r="904" spans="7:9" ht="13">
      <c r="G904" s="34"/>
      <c r="I904" s="31" t="str">
        <f t="shared" si="34"/>
        <v/>
      </c>
    </row>
    <row r="905" spans="7:9" ht="13">
      <c r="G905" s="34"/>
      <c r="I905" s="31" t="str">
        <f t="shared" si="34"/>
        <v/>
      </c>
    </row>
    <row r="906" spans="7:9" ht="13">
      <c r="G906" s="34"/>
      <c r="I906" s="31" t="str">
        <f t="shared" si="34"/>
        <v/>
      </c>
    </row>
    <row r="907" spans="7:9" ht="13">
      <c r="G907" s="34"/>
      <c r="I907" s="31" t="str">
        <f t="shared" si="34"/>
        <v/>
      </c>
    </row>
    <row r="908" spans="7:9" ht="13">
      <c r="G908" s="34"/>
      <c r="I908" s="31" t="str">
        <f t="shared" si="34"/>
        <v/>
      </c>
    </row>
    <row r="909" spans="7:9" ht="13">
      <c r="G909" s="34"/>
      <c r="I909" s="31" t="str">
        <f t="shared" si="34"/>
        <v/>
      </c>
    </row>
    <row r="910" spans="7:9" ht="13">
      <c r="G910" s="34"/>
      <c r="I910" s="31" t="str">
        <f t="shared" si="34"/>
        <v/>
      </c>
    </row>
    <row r="911" spans="7:9" ht="13">
      <c r="G911" s="34"/>
      <c r="I911" s="31" t="str">
        <f t="shared" si="34"/>
        <v/>
      </c>
    </row>
    <row r="912" spans="7:9" ht="13">
      <c r="G912" s="34"/>
      <c r="I912" s="31" t="str">
        <f t="shared" si="34"/>
        <v/>
      </c>
    </row>
    <row r="913" spans="7:9" ht="13">
      <c r="G913" s="34"/>
      <c r="I913" s="31" t="str">
        <f t="shared" si="34"/>
        <v/>
      </c>
    </row>
    <row r="914" spans="7:9" ht="13">
      <c r="G914" s="34"/>
      <c r="I914" s="31" t="str">
        <f t="shared" si="34"/>
        <v/>
      </c>
    </row>
    <row r="915" spans="7:9" ht="13">
      <c r="G915" s="34"/>
      <c r="I915" s="31" t="str">
        <f t="shared" si="34"/>
        <v/>
      </c>
    </row>
    <row r="916" spans="7:9" ht="13">
      <c r="G916" s="34"/>
      <c r="I916" s="31" t="str">
        <f t="shared" si="34"/>
        <v/>
      </c>
    </row>
    <row r="917" spans="7:9" ht="13">
      <c r="G917" s="34"/>
      <c r="I917" s="31" t="str">
        <f t="shared" si="34"/>
        <v/>
      </c>
    </row>
    <row r="918" spans="7:9" ht="13">
      <c r="G918" s="34"/>
      <c r="I918" s="31" t="str">
        <f t="shared" si="34"/>
        <v/>
      </c>
    </row>
    <row r="919" spans="7:9" ht="13">
      <c r="G919" s="34"/>
      <c r="I919" s="31" t="str">
        <f t="shared" si="34"/>
        <v/>
      </c>
    </row>
    <row r="920" spans="7:9" ht="13">
      <c r="G920" s="34"/>
      <c r="I920" s="31" t="str">
        <f t="shared" si="34"/>
        <v/>
      </c>
    </row>
    <row r="921" spans="7:9" ht="13">
      <c r="G921" s="34"/>
      <c r="I921" s="31" t="str">
        <f t="shared" si="34"/>
        <v/>
      </c>
    </row>
    <row r="922" spans="7:9" ht="13">
      <c r="G922" s="34"/>
      <c r="I922" s="31" t="str">
        <f t="shared" si="34"/>
        <v/>
      </c>
    </row>
    <row r="923" spans="7:9" ht="13">
      <c r="G923" s="34"/>
      <c r="I923" s="31" t="str">
        <f t="shared" si="34"/>
        <v/>
      </c>
    </row>
    <row r="924" spans="7:9" ht="13">
      <c r="G924" s="34"/>
      <c r="I924" s="31" t="str">
        <f t="shared" si="34"/>
        <v/>
      </c>
    </row>
    <row r="925" spans="7:9" ht="13">
      <c r="G925" s="34"/>
      <c r="I925" s="31" t="str">
        <f t="shared" si="34"/>
        <v/>
      </c>
    </row>
    <row r="926" spans="7:9" ht="13">
      <c r="G926" s="34"/>
      <c r="I926" s="31" t="str">
        <f t="shared" si="34"/>
        <v/>
      </c>
    </row>
    <row r="927" spans="7:9" ht="13">
      <c r="G927" s="34"/>
      <c r="I927" s="31" t="str">
        <f t="shared" si="34"/>
        <v/>
      </c>
    </row>
    <row r="928" spans="7:9" ht="13">
      <c r="G928" s="34"/>
      <c r="I928" s="31" t="str">
        <f t="shared" si="34"/>
        <v/>
      </c>
    </row>
    <row r="929" spans="7:7" ht="13">
      <c r="G929" s="34"/>
    </row>
    <row r="930" spans="7:7" ht="13">
      <c r="G930" s="34"/>
    </row>
    <row r="931" spans="7:7" ht="13">
      <c r="G931" s="34"/>
    </row>
    <row r="932" spans="7:7" ht="13">
      <c r="G932" s="34"/>
    </row>
    <row r="933" spans="7:7" ht="13">
      <c r="G933" s="34"/>
    </row>
    <row r="934" spans="7:7" ht="13">
      <c r="G934" s="34"/>
    </row>
    <row r="935" spans="7:7" ht="13">
      <c r="G935" s="34"/>
    </row>
    <row r="936" spans="7:7" ht="13">
      <c r="G936" s="34"/>
    </row>
    <row r="937" spans="7:7" ht="13">
      <c r="G937" s="34"/>
    </row>
    <row r="938" spans="7:7" ht="13">
      <c r="G938" s="34"/>
    </row>
    <row r="939" spans="7:7" ht="13">
      <c r="G939" s="34"/>
    </row>
    <row r="940" spans="7:7" ht="13">
      <c r="G940" s="34"/>
    </row>
    <row r="941" spans="7:7" ht="13">
      <c r="G941" s="34"/>
    </row>
    <row r="942" spans="7:7" ht="13">
      <c r="G942" s="34"/>
    </row>
    <row r="943" spans="7:7" ht="13">
      <c r="G943" s="34"/>
    </row>
    <row r="944" spans="7:7" ht="13">
      <c r="G944" s="34"/>
    </row>
    <row r="945" spans="7:7" ht="13">
      <c r="G945" s="34"/>
    </row>
    <row r="946" spans="7:7" ht="13">
      <c r="G946" s="34"/>
    </row>
    <row r="947" spans="7:7" ht="13">
      <c r="G947" s="34"/>
    </row>
    <row r="948" spans="7:7" ht="13">
      <c r="G948" s="34"/>
    </row>
    <row r="949" spans="7:7" ht="13">
      <c r="G949" s="34"/>
    </row>
    <row r="950" spans="7:7" ht="13">
      <c r="G950" s="34"/>
    </row>
    <row r="951" spans="7:7" ht="13">
      <c r="G951" s="34"/>
    </row>
    <row r="952" spans="7:7" ht="13">
      <c r="G952" s="34"/>
    </row>
    <row r="953" spans="7:7" ht="13">
      <c r="G953" s="34"/>
    </row>
    <row r="954" spans="7:7" ht="13">
      <c r="G954" s="34"/>
    </row>
    <row r="955" spans="7:7" ht="13">
      <c r="G955" s="34"/>
    </row>
    <row r="956" spans="7:7" ht="13">
      <c r="G956" s="34"/>
    </row>
    <row r="957" spans="7:7" ht="13">
      <c r="G957" s="34"/>
    </row>
    <row r="958" spans="7:7" ht="13">
      <c r="G958" s="34"/>
    </row>
    <row r="959" spans="7:7" ht="13">
      <c r="G959" s="34"/>
    </row>
    <row r="960" spans="7:7" ht="13">
      <c r="G960" s="34"/>
    </row>
    <row r="961" spans="7:7" ht="13">
      <c r="G961" s="34"/>
    </row>
    <row r="962" spans="7:7" ht="13">
      <c r="G962" s="34"/>
    </row>
    <row r="963" spans="7:7" ht="13">
      <c r="G963" s="34"/>
    </row>
    <row r="964" spans="7:7" ht="13">
      <c r="G964" s="34"/>
    </row>
    <row r="965" spans="7:7" ht="13">
      <c r="G965" s="34"/>
    </row>
    <row r="966" spans="7:7" ht="13">
      <c r="G966" s="34"/>
    </row>
    <row r="967" spans="7:7" ht="13">
      <c r="G967" s="34"/>
    </row>
    <row r="968" spans="7:7" ht="13">
      <c r="G968" s="34"/>
    </row>
    <row r="969" spans="7:7" ht="13">
      <c r="G969" s="34"/>
    </row>
    <row r="970" spans="7:7" ht="13">
      <c r="G970" s="34"/>
    </row>
    <row r="971" spans="7:7" ht="13">
      <c r="G971" s="34"/>
    </row>
    <row r="972" spans="7:7" ht="13">
      <c r="G972" s="34"/>
    </row>
    <row r="973" spans="7:7" ht="13">
      <c r="G973" s="34"/>
    </row>
    <row r="974" spans="7:7" ht="13">
      <c r="G974" s="34"/>
    </row>
    <row r="975" spans="7:7" ht="13">
      <c r="G975" s="34"/>
    </row>
    <row r="976" spans="7:7" ht="13">
      <c r="G976" s="34"/>
    </row>
    <row r="977" spans="7:7" ht="13">
      <c r="G977" s="34"/>
    </row>
    <row r="978" spans="7:7" ht="13">
      <c r="G978" s="34"/>
    </row>
    <row r="979" spans="7:7" ht="13">
      <c r="G979" s="34"/>
    </row>
    <row r="980" spans="7:7" ht="13">
      <c r="G980" s="34"/>
    </row>
    <row r="981" spans="7:7" ht="13">
      <c r="G981" s="34"/>
    </row>
    <row r="982" spans="7:7" ht="13">
      <c r="G982" s="34"/>
    </row>
    <row r="983" spans="7:7" ht="13">
      <c r="G983" s="34"/>
    </row>
    <row r="984" spans="7:7" ht="13">
      <c r="G984" s="34"/>
    </row>
    <row r="985" spans="7:7" ht="13">
      <c r="G985" s="34"/>
    </row>
    <row r="986" spans="7:7" ht="13">
      <c r="G986" s="34"/>
    </row>
    <row r="987" spans="7:7" ht="13">
      <c r="G987" s="34"/>
    </row>
    <row r="988" spans="7:7" ht="13">
      <c r="G988" s="34"/>
    </row>
    <row r="989" spans="7:7" ht="13">
      <c r="G989" s="34"/>
    </row>
    <row r="990" spans="7:7" ht="13">
      <c r="G990" s="34"/>
    </row>
    <row r="991" spans="7:7" ht="13">
      <c r="G991" s="34"/>
    </row>
    <row r="992" spans="7:7" ht="13">
      <c r="G992" s="34"/>
    </row>
    <row r="993" spans="7:7" ht="13">
      <c r="G993" s="34"/>
    </row>
    <row r="994" spans="7:7" ht="13">
      <c r="G994" s="34"/>
    </row>
    <row r="995" spans="7:7" ht="13">
      <c r="G995" s="34"/>
    </row>
    <row r="996" spans="7:7" ht="13">
      <c r="G996" s="34"/>
    </row>
    <row r="997" spans="7:7" ht="13">
      <c r="G997" s="34"/>
    </row>
    <row r="998" spans="7:7" ht="13">
      <c r="G998" s="34"/>
    </row>
    <row r="999" spans="7:7" ht="13">
      <c r="G999" s="34"/>
    </row>
    <row r="1000" spans="7:7" ht="13">
      <c r="G1000" s="34"/>
    </row>
    <row r="1001" spans="7:7" ht="13">
      <c r="G1001" s="34"/>
    </row>
    <row r="1002" spans="7:7" ht="13">
      <c r="G1002" s="34"/>
    </row>
    <row r="1003" spans="7:7" ht="13">
      <c r="G1003" s="34"/>
    </row>
    <row r="1004" spans="7:7" ht="13">
      <c r="G1004" s="34"/>
    </row>
    <row r="1005" spans="7:7" ht="13">
      <c r="G1005" s="34"/>
    </row>
    <row r="1006" spans="7:7" ht="13">
      <c r="G1006" s="34"/>
    </row>
    <row r="1007" spans="7:7" ht="13">
      <c r="G1007" s="34"/>
    </row>
    <row r="1008" spans="7:7" ht="13">
      <c r="G1008" s="34"/>
    </row>
    <row r="1009" spans="7:7" ht="13">
      <c r="G1009" s="34"/>
    </row>
    <row r="1010" spans="7:7" ht="13">
      <c r="G1010" s="34"/>
    </row>
    <row r="1011" spans="7:7" ht="13">
      <c r="G1011" s="34"/>
    </row>
    <row r="1012" spans="7:7" ht="13">
      <c r="G1012" s="34"/>
    </row>
    <row r="1013" spans="7:7" ht="13">
      <c r="G1013" s="34"/>
    </row>
    <row r="1014" spans="7:7" ht="13">
      <c r="G1014" s="34"/>
    </row>
    <row r="1015" spans="7:7" ht="13">
      <c r="G1015" s="34"/>
    </row>
    <row r="1016" spans="7:7" ht="13">
      <c r="G1016" s="34"/>
    </row>
    <row r="1017" spans="7:7" ht="13">
      <c r="G1017" s="34"/>
    </row>
    <row r="1018" spans="7:7" ht="13">
      <c r="G1018" s="34"/>
    </row>
    <row r="1019" spans="7:7" ht="13">
      <c r="G1019" s="34"/>
    </row>
    <row r="1020" spans="7:7" ht="13">
      <c r="G1020" s="34"/>
    </row>
    <row r="1021" spans="7:7" ht="13">
      <c r="G1021" s="34"/>
    </row>
    <row r="1022" spans="7:7" ht="13">
      <c r="G1022" s="34"/>
    </row>
    <row r="1023" spans="7:7" ht="13">
      <c r="G1023" s="34"/>
    </row>
    <row r="1024" spans="7:7" ht="13">
      <c r="G1024" s="34"/>
    </row>
    <row r="1025" spans="7:7" ht="13">
      <c r="G1025" s="34"/>
    </row>
    <row r="1026" spans="7:7" ht="13">
      <c r="G1026" s="34"/>
    </row>
    <row r="1027" spans="7:7" ht="13">
      <c r="G1027" s="34"/>
    </row>
    <row r="1028" spans="7:7" ht="13">
      <c r="G1028" s="34"/>
    </row>
    <row r="1029" spans="7:7" ht="13">
      <c r="G1029" s="34"/>
    </row>
    <row r="1030" spans="7:7" ht="13">
      <c r="G1030" s="34"/>
    </row>
    <row r="1031" spans="7:7" ht="13">
      <c r="G1031" s="34"/>
    </row>
    <row r="1032" spans="7:7" ht="13">
      <c r="G1032" s="34"/>
    </row>
    <row r="1033" spans="7:7" ht="13">
      <c r="G1033" s="34"/>
    </row>
    <row r="1034" spans="7:7" ht="13">
      <c r="G1034" s="34"/>
    </row>
    <row r="1035" spans="7:7" ht="13">
      <c r="G1035" s="34"/>
    </row>
    <row r="1036" spans="7:7" ht="13">
      <c r="G1036" s="34"/>
    </row>
    <row r="1037" spans="7:7" ht="13">
      <c r="G1037" s="34"/>
    </row>
    <row r="1038" spans="7:7" ht="13">
      <c r="G1038" s="34"/>
    </row>
    <row r="1039" spans="7:7" ht="13">
      <c r="G1039" s="34"/>
    </row>
    <row r="1040" spans="7:7" ht="13">
      <c r="G1040" s="34"/>
    </row>
  </sheetData>
  <customSheetViews>
    <customSheetView guid="{CD01A12A-D4E4-447C-9261-FE38C9B00FF9}" filter="1" showAutoFilter="1">
      <pageMargins left="0.7" right="0.7" top="0.75" bottom="0.75" header="0.3" footer="0.3"/>
      <autoFilter ref="A2:L384" xr:uid="{00000000-0000-0000-0000-000000000000}">
        <filterColumn colId="1">
          <filters>
            <filter val="ML4H"/>
            <filter val="NLP, ML4H"/>
          </filters>
        </filterColumn>
      </autoFilter>
    </customSheetView>
  </customSheetViews>
  <hyperlinks>
    <hyperlink ref="C3" r:id="rId1" xr:uid="{00000000-0004-0000-0C00-000000000000}"/>
    <hyperlink ref="C4" r:id="rId2" xr:uid="{00000000-0004-0000-0C00-000001000000}"/>
    <hyperlink ref="C5" r:id="rId3" xr:uid="{00000000-0004-0000-0C00-000002000000}"/>
    <hyperlink ref="C6" r:id="rId4" xr:uid="{00000000-0004-0000-0C00-000003000000}"/>
    <hyperlink ref="C7" r:id="rId5" xr:uid="{00000000-0004-0000-0C00-000004000000}"/>
    <hyperlink ref="C8" r:id="rId6" xr:uid="{00000000-0004-0000-0C00-000005000000}"/>
    <hyperlink ref="C9" r:id="rId7" xr:uid="{00000000-0004-0000-0C00-000006000000}"/>
    <hyperlink ref="C10" r:id="rId8" xr:uid="{00000000-0004-0000-0C00-000007000000}"/>
    <hyperlink ref="C11" r:id="rId9" xr:uid="{00000000-0004-0000-0C00-000008000000}"/>
    <hyperlink ref="C17" r:id="rId10" xr:uid="{00000000-0004-0000-0C00-000009000000}"/>
    <hyperlink ref="C19" r:id="rId11" xr:uid="{00000000-0004-0000-0C00-00000A000000}"/>
    <hyperlink ref="C22" r:id="rId12" xr:uid="{00000000-0004-0000-0C00-00000B000000}"/>
    <hyperlink ref="C27" r:id="rId13" xr:uid="{00000000-0004-0000-0C00-00000C000000}"/>
    <hyperlink ref="C29" r:id="rId14" xr:uid="{00000000-0004-0000-0C00-00000D000000}"/>
    <hyperlink ref="C30" r:id="rId15" xr:uid="{00000000-0004-0000-0C00-00000E000000}"/>
    <hyperlink ref="C31" r:id="rId16" xr:uid="{00000000-0004-0000-0C00-00000F000000}"/>
    <hyperlink ref="C32" r:id="rId17" xr:uid="{00000000-0004-0000-0C00-000010000000}"/>
    <hyperlink ref="C33" r:id="rId18" xr:uid="{00000000-0004-0000-0C00-000011000000}"/>
    <hyperlink ref="C34" r:id="rId19" xr:uid="{00000000-0004-0000-0C00-000012000000}"/>
    <hyperlink ref="C35" r:id="rId20" xr:uid="{00000000-0004-0000-0C00-000013000000}"/>
    <hyperlink ref="C36" r:id="rId21" xr:uid="{00000000-0004-0000-0C00-000014000000}"/>
    <hyperlink ref="C37" r:id="rId22" xr:uid="{00000000-0004-0000-0C00-000015000000}"/>
    <hyperlink ref="C38" r:id="rId23" xr:uid="{00000000-0004-0000-0C00-000016000000}"/>
    <hyperlink ref="C39" r:id="rId24" xr:uid="{00000000-0004-0000-0C00-000017000000}"/>
    <hyperlink ref="C43" r:id="rId25" xr:uid="{00000000-0004-0000-0C00-000018000000}"/>
    <hyperlink ref="C44" r:id="rId26" xr:uid="{00000000-0004-0000-0C00-000019000000}"/>
    <hyperlink ref="C45" r:id="rId27" xr:uid="{00000000-0004-0000-0C00-00001A000000}"/>
    <hyperlink ref="C46" r:id="rId28" xr:uid="{00000000-0004-0000-0C00-00001B000000}"/>
    <hyperlink ref="C47" r:id="rId29" xr:uid="{00000000-0004-0000-0C00-00001C000000}"/>
    <hyperlink ref="C48" r:id="rId30" xr:uid="{00000000-0004-0000-0C00-00001D000000}"/>
    <hyperlink ref="C49" r:id="rId31" xr:uid="{00000000-0004-0000-0C00-00001E000000}"/>
    <hyperlink ref="C50" r:id="rId32" xr:uid="{00000000-0004-0000-0C00-00001F000000}"/>
    <hyperlink ref="C51" r:id="rId33" xr:uid="{00000000-0004-0000-0C00-000020000000}"/>
    <hyperlink ref="C52" r:id="rId34" xr:uid="{00000000-0004-0000-0C00-000021000000}"/>
    <hyperlink ref="A53" r:id="rId35" xr:uid="{00000000-0004-0000-0C00-000022000000}"/>
    <hyperlink ref="A54" r:id="rId36" xr:uid="{00000000-0004-0000-0C00-000023000000}"/>
    <hyperlink ref="A55" r:id="rId37" xr:uid="{00000000-0004-0000-0C00-000024000000}"/>
    <hyperlink ref="A56" r:id="rId38" xr:uid="{00000000-0004-0000-0C00-000025000000}"/>
    <hyperlink ref="A57" r:id="rId39" xr:uid="{00000000-0004-0000-0C00-000026000000}"/>
    <hyperlink ref="A58" r:id="rId40" xr:uid="{00000000-0004-0000-0C00-000027000000}"/>
    <hyperlink ref="C60" r:id="rId41" xr:uid="{00000000-0004-0000-0C00-000028000000}"/>
    <hyperlink ref="A63" r:id="rId42" xr:uid="{00000000-0004-0000-0C00-000029000000}"/>
    <hyperlink ref="A64" r:id="rId43" xr:uid="{00000000-0004-0000-0C00-00002A000000}"/>
    <hyperlink ref="A66" r:id="rId44" xr:uid="{00000000-0004-0000-0C00-00002B000000}"/>
    <hyperlink ref="A67" r:id="rId45" xr:uid="{00000000-0004-0000-0C00-00002C000000}"/>
    <hyperlink ref="A68" r:id="rId46" xr:uid="{00000000-0004-0000-0C00-00002D000000}"/>
    <hyperlink ref="A69" r:id="rId47" xr:uid="{00000000-0004-0000-0C00-00002E000000}"/>
    <hyperlink ref="C74" r:id="rId48" xr:uid="{00000000-0004-0000-0C00-00002F000000}"/>
    <hyperlink ref="C75" r:id="rId49" xr:uid="{00000000-0004-0000-0C00-000030000000}"/>
    <hyperlink ref="A76" r:id="rId50" xr:uid="{00000000-0004-0000-0C00-000031000000}"/>
    <hyperlink ref="A77" r:id="rId51" xr:uid="{00000000-0004-0000-0C00-000032000000}"/>
    <hyperlink ref="C78" r:id="rId52" xr:uid="{00000000-0004-0000-0C00-000033000000}"/>
    <hyperlink ref="C79" r:id="rId53" xr:uid="{00000000-0004-0000-0C00-000034000000}"/>
    <hyperlink ref="A81" r:id="rId54" xr:uid="{00000000-0004-0000-0C00-000035000000}"/>
    <hyperlink ref="A82" r:id="rId55" xr:uid="{00000000-0004-0000-0C00-000036000000}"/>
    <hyperlink ref="A83" r:id="rId56" xr:uid="{00000000-0004-0000-0C00-000037000000}"/>
    <hyperlink ref="A88" r:id="rId57" xr:uid="{00000000-0004-0000-0C00-000038000000}"/>
    <hyperlink ref="C89" r:id="rId58" xr:uid="{00000000-0004-0000-0C00-000039000000}"/>
    <hyperlink ref="A90" r:id="rId59" xr:uid="{00000000-0004-0000-0C00-00003A000000}"/>
    <hyperlink ref="A91" r:id="rId60" xr:uid="{00000000-0004-0000-0C00-00003B000000}"/>
    <hyperlink ref="A93" r:id="rId61" xr:uid="{00000000-0004-0000-0C00-00003C000000}"/>
    <hyperlink ref="A94" r:id="rId62" xr:uid="{00000000-0004-0000-0C00-00003D000000}"/>
    <hyperlink ref="A95" r:id="rId63" xr:uid="{00000000-0004-0000-0C00-00003E000000}"/>
    <hyperlink ref="A96" r:id="rId64" xr:uid="{00000000-0004-0000-0C00-00003F000000}"/>
    <hyperlink ref="A97" r:id="rId65" xr:uid="{00000000-0004-0000-0C00-000040000000}"/>
    <hyperlink ref="A98" r:id="rId66" xr:uid="{00000000-0004-0000-0C00-000041000000}"/>
    <hyperlink ref="A99" r:id="rId67" xr:uid="{00000000-0004-0000-0C00-000042000000}"/>
    <hyperlink ref="A100" r:id="rId68" xr:uid="{00000000-0004-0000-0C00-000043000000}"/>
    <hyperlink ref="A101" r:id="rId69" xr:uid="{00000000-0004-0000-0C00-000044000000}"/>
    <hyperlink ref="A102" r:id="rId70" xr:uid="{00000000-0004-0000-0C00-000045000000}"/>
    <hyperlink ref="A103" r:id="rId71" xr:uid="{00000000-0004-0000-0C00-000046000000}"/>
    <hyperlink ref="A104" r:id="rId72" xr:uid="{00000000-0004-0000-0C00-000047000000}"/>
    <hyperlink ref="A105" r:id="rId73" xr:uid="{00000000-0004-0000-0C00-000048000000}"/>
    <hyperlink ref="A106" r:id="rId74" xr:uid="{00000000-0004-0000-0C00-000049000000}"/>
    <hyperlink ref="A107" r:id="rId75" xr:uid="{00000000-0004-0000-0C00-00004A000000}"/>
    <hyperlink ref="A108" r:id="rId76" xr:uid="{00000000-0004-0000-0C00-00004B000000}"/>
    <hyperlink ref="A109" r:id="rId77" xr:uid="{00000000-0004-0000-0C00-00004C000000}"/>
    <hyperlink ref="A110" r:id="rId78" xr:uid="{00000000-0004-0000-0C00-00004D000000}"/>
    <hyperlink ref="J110" r:id="rId79" xr:uid="{00000000-0004-0000-0C00-00004E000000}"/>
    <hyperlink ref="A111" r:id="rId80" xr:uid="{00000000-0004-0000-0C00-00004F000000}"/>
    <hyperlink ref="A112" r:id="rId81" xr:uid="{00000000-0004-0000-0C00-000050000000}"/>
    <hyperlink ref="A113" r:id="rId82" xr:uid="{00000000-0004-0000-0C00-000051000000}"/>
    <hyperlink ref="A114" r:id="rId83" xr:uid="{00000000-0004-0000-0C00-000052000000}"/>
    <hyperlink ref="A115" r:id="rId84" xr:uid="{00000000-0004-0000-0C00-000053000000}"/>
    <hyperlink ref="A116" r:id="rId85" xr:uid="{00000000-0004-0000-0C00-000054000000}"/>
    <hyperlink ref="A117" r:id="rId86" xr:uid="{00000000-0004-0000-0C00-000055000000}"/>
    <hyperlink ref="A118" r:id="rId87" xr:uid="{00000000-0004-0000-0C00-000056000000}"/>
    <hyperlink ref="A119" r:id="rId88" xr:uid="{00000000-0004-0000-0C00-000057000000}"/>
    <hyperlink ref="A120" r:id="rId89" xr:uid="{00000000-0004-0000-0C00-000058000000}"/>
    <hyperlink ref="A121" r:id="rId90" xr:uid="{00000000-0004-0000-0C00-000059000000}"/>
    <hyperlink ref="A122" r:id="rId91" xr:uid="{00000000-0004-0000-0C00-00005A000000}"/>
    <hyperlink ref="A123" r:id="rId92" xr:uid="{00000000-0004-0000-0C00-00005B000000}"/>
    <hyperlink ref="A124" r:id="rId93" xr:uid="{00000000-0004-0000-0C00-00005C000000}"/>
    <hyperlink ref="A125" r:id="rId94" xr:uid="{00000000-0004-0000-0C00-00005D000000}"/>
    <hyperlink ref="A126" r:id="rId95" xr:uid="{00000000-0004-0000-0C00-00005E000000}"/>
    <hyperlink ref="A127" r:id="rId96" xr:uid="{00000000-0004-0000-0C00-00005F000000}"/>
    <hyperlink ref="A128" r:id="rId97" xr:uid="{00000000-0004-0000-0C00-000060000000}"/>
    <hyperlink ref="A129" r:id="rId98" xr:uid="{00000000-0004-0000-0C00-000061000000}"/>
    <hyperlink ref="A130" r:id="rId99" xr:uid="{00000000-0004-0000-0C00-000062000000}"/>
    <hyperlink ref="A131" r:id="rId100" xr:uid="{00000000-0004-0000-0C00-000063000000}"/>
    <hyperlink ref="A132" r:id="rId101" xr:uid="{00000000-0004-0000-0C00-000064000000}"/>
    <hyperlink ref="A133" r:id="rId102" xr:uid="{00000000-0004-0000-0C00-000065000000}"/>
    <hyperlink ref="A134" r:id="rId103" xr:uid="{00000000-0004-0000-0C00-000066000000}"/>
    <hyperlink ref="A135" r:id="rId104" xr:uid="{00000000-0004-0000-0C00-000067000000}"/>
    <hyperlink ref="A136" r:id="rId105" xr:uid="{00000000-0004-0000-0C00-000068000000}"/>
    <hyperlink ref="A137" r:id="rId106" xr:uid="{00000000-0004-0000-0C00-000069000000}"/>
    <hyperlink ref="A138" r:id="rId107" xr:uid="{00000000-0004-0000-0C00-00006A000000}"/>
    <hyperlink ref="A139" r:id="rId108" xr:uid="{00000000-0004-0000-0C00-00006B000000}"/>
    <hyperlink ref="A140" r:id="rId109" xr:uid="{00000000-0004-0000-0C00-00006C000000}"/>
    <hyperlink ref="A141" r:id="rId110" xr:uid="{00000000-0004-0000-0C00-00006D000000}"/>
    <hyperlink ref="A142" r:id="rId111" xr:uid="{00000000-0004-0000-0C00-00006E000000}"/>
    <hyperlink ref="A143" r:id="rId112" xr:uid="{00000000-0004-0000-0C00-00006F000000}"/>
    <hyperlink ref="A144" r:id="rId113" xr:uid="{00000000-0004-0000-0C00-000070000000}"/>
    <hyperlink ref="J144" r:id="rId114" xr:uid="{00000000-0004-0000-0C00-000071000000}"/>
    <hyperlink ref="A145" r:id="rId115" xr:uid="{00000000-0004-0000-0C00-000072000000}"/>
    <hyperlink ref="A146" r:id="rId116" xr:uid="{00000000-0004-0000-0C00-000073000000}"/>
    <hyperlink ref="A147" r:id="rId117" xr:uid="{00000000-0004-0000-0C00-000074000000}"/>
    <hyperlink ref="A148" r:id="rId118" xr:uid="{00000000-0004-0000-0C00-000075000000}"/>
    <hyperlink ref="J148" r:id="rId119" xr:uid="{00000000-0004-0000-0C00-000076000000}"/>
    <hyperlink ref="C149" r:id="rId120" xr:uid="{00000000-0004-0000-0C00-000077000000}"/>
    <hyperlink ref="F149" r:id="rId121" xr:uid="{00000000-0004-0000-0C00-000078000000}"/>
    <hyperlink ref="C150" r:id="rId122" xr:uid="{00000000-0004-0000-0C00-000079000000}"/>
    <hyperlink ref="C151" r:id="rId123" xr:uid="{00000000-0004-0000-0C00-00007A000000}"/>
    <hyperlink ref="C152" r:id="rId124" xr:uid="{00000000-0004-0000-0C00-00007B000000}"/>
    <hyperlink ref="C153" r:id="rId125" xr:uid="{00000000-0004-0000-0C00-00007C000000}"/>
    <hyperlink ref="C154" r:id="rId126" xr:uid="{00000000-0004-0000-0C00-00007D000000}"/>
    <hyperlink ref="C155" r:id="rId127" xr:uid="{00000000-0004-0000-0C00-00007E000000}"/>
    <hyperlink ref="C156" r:id="rId128" xr:uid="{00000000-0004-0000-0C00-00007F000000}"/>
    <hyperlink ref="C157" r:id="rId129" xr:uid="{00000000-0004-0000-0C00-000080000000}"/>
    <hyperlink ref="C158" r:id="rId130" xr:uid="{00000000-0004-0000-0C00-000081000000}"/>
    <hyperlink ref="C159" r:id="rId131" xr:uid="{00000000-0004-0000-0C00-000082000000}"/>
    <hyperlink ref="F159" r:id="rId132" xr:uid="{00000000-0004-0000-0C00-000083000000}"/>
    <hyperlink ref="C160" r:id="rId133" xr:uid="{00000000-0004-0000-0C00-000084000000}"/>
    <hyperlink ref="C161" r:id="rId134" xr:uid="{00000000-0004-0000-0C00-000085000000}"/>
    <hyperlink ref="C162" r:id="rId135" xr:uid="{00000000-0004-0000-0C00-000086000000}"/>
    <hyperlink ref="C163" r:id="rId136" xr:uid="{00000000-0004-0000-0C00-000087000000}"/>
    <hyperlink ref="C164" r:id="rId137" xr:uid="{00000000-0004-0000-0C00-000088000000}"/>
    <hyperlink ref="C165" r:id="rId138" xr:uid="{00000000-0004-0000-0C00-000089000000}"/>
    <hyperlink ref="C166" r:id="rId139" xr:uid="{00000000-0004-0000-0C00-00008A000000}"/>
    <hyperlink ref="C167" r:id="rId140" xr:uid="{00000000-0004-0000-0C00-00008B000000}"/>
    <hyperlink ref="C168" r:id="rId141" xr:uid="{00000000-0004-0000-0C00-00008C000000}"/>
    <hyperlink ref="C169" r:id="rId142" xr:uid="{00000000-0004-0000-0C00-00008D000000}"/>
    <hyperlink ref="C170" r:id="rId143" xr:uid="{00000000-0004-0000-0C00-00008E000000}"/>
    <hyperlink ref="C171" r:id="rId144" xr:uid="{00000000-0004-0000-0C00-00008F000000}"/>
    <hyperlink ref="C172" r:id="rId145" xr:uid="{00000000-0004-0000-0C00-000090000000}"/>
    <hyperlink ref="C173" r:id="rId146" xr:uid="{00000000-0004-0000-0C00-000091000000}"/>
    <hyperlink ref="C174" r:id="rId147" xr:uid="{00000000-0004-0000-0C00-000092000000}"/>
    <hyperlink ref="C175" r:id="rId148" xr:uid="{00000000-0004-0000-0C00-000093000000}"/>
    <hyperlink ref="C176" r:id="rId149" xr:uid="{00000000-0004-0000-0C00-000094000000}"/>
    <hyperlink ref="C177" r:id="rId150" xr:uid="{00000000-0004-0000-0C00-000095000000}"/>
    <hyperlink ref="C178" r:id="rId151" xr:uid="{00000000-0004-0000-0C00-000096000000}"/>
    <hyperlink ref="C179" r:id="rId152" xr:uid="{00000000-0004-0000-0C00-000097000000}"/>
    <hyperlink ref="C180" r:id="rId153" xr:uid="{00000000-0004-0000-0C00-000098000000}"/>
    <hyperlink ref="C181" r:id="rId154" xr:uid="{00000000-0004-0000-0C00-000099000000}"/>
    <hyperlink ref="C182" r:id="rId155" xr:uid="{00000000-0004-0000-0C00-00009A000000}"/>
    <hyperlink ref="C183" r:id="rId156" xr:uid="{00000000-0004-0000-0C00-00009B000000}"/>
    <hyperlink ref="C184" r:id="rId157" xr:uid="{00000000-0004-0000-0C00-00009C000000}"/>
    <hyperlink ref="C185" r:id="rId158" xr:uid="{00000000-0004-0000-0C00-00009D000000}"/>
    <hyperlink ref="C186" r:id="rId159" xr:uid="{00000000-0004-0000-0C00-00009E000000}"/>
    <hyperlink ref="C187" r:id="rId160" xr:uid="{00000000-0004-0000-0C00-00009F000000}"/>
    <hyperlink ref="C188" r:id="rId161" xr:uid="{00000000-0004-0000-0C00-0000A0000000}"/>
    <hyperlink ref="C189" r:id="rId162" xr:uid="{00000000-0004-0000-0C00-0000A1000000}"/>
    <hyperlink ref="C190" r:id="rId163" xr:uid="{00000000-0004-0000-0C00-0000A2000000}"/>
    <hyperlink ref="C191" r:id="rId164" xr:uid="{00000000-0004-0000-0C00-0000A3000000}"/>
    <hyperlink ref="C192" r:id="rId165" xr:uid="{00000000-0004-0000-0C00-0000A4000000}"/>
    <hyperlink ref="J192" r:id="rId166" xr:uid="{00000000-0004-0000-0C00-0000A5000000}"/>
    <hyperlink ref="C193" r:id="rId167" xr:uid="{00000000-0004-0000-0C00-0000A6000000}"/>
    <hyperlink ref="C194" r:id="rId168" xr:uid="{00000000-0004-0000-0C00-0000A7000000}"/>
    <hyperlink ref="C195" r:id="rId169" xr:uid="{00000000-0004-0000-0C00-0000A8000000}"/>
    <hyperlink ref="C196" r:id="rId170" xr:uid="{00000000-0004-0000-0C00-0000A9000000}"/>
    <hyperlink ref="C197" r:id="rId171" xr:uid="{00000000-0004-0000-0C00-0000AA000000}"/>
    <hyperlink ref="C198" r:id="rId172" xr:uid="{00000000-0004-0000-0C00-0000AB000000}"/>
    <hyperlink ref="C199" r:id="rId173" xr:uid="{00000000-0004-0000-0C00-0000AC000000}"/>
    <hyperlink ref="C200" r:id="rId174" xr:uid="{00000000-0004-0000-0C00-0000AD000000}"/>
    <hyperlink ref="C201" r:id="rId175" xr:uid="{00000000-0004-0000-0C00-0000AE000000}"/>
    <hyperlink ref="C202" r:id="rId176" xr:uid="{00000000-0004-0000-0C00-0000AF000000}"/>
    <hyperlink ref="C203" r:id="rId177" xr:uid="{00000000-0004-0000-0C00-0000B0000000}"/>
    <hyperlink ref="C204" r:id="rId178" xr:uid="{00000000-0004-0000-0C00-0000B1000000}"/>
    <hyperlink ref="C205" r:id="rId179" xr:uid="{00000000-0004-0000-0C00-0000B2000000}"/>
    <hyperlink ref="C206" r:id="rId180" xr:uid="{00000000-0004-0000-0C00-0000B3000000}"/>
    <hyperlink ref="C207" r:id="rId181" xr:uid="{00000000-0004-0000-0C00-0000B4000000}"/>
    <hyperlink ref="C208" r:id="rId182" xr:uid="{00000000-0004-0000-0C00-0000B5000000}"/>
    <hyperlink ref="C209" r:id="rId183" xr:uid="{00000000-0004-0000-0C00-0000B6000000}"/>
    <hyperlink ref="C210" r:id="rId184" xr:uid="{00000000-0004-0000-0C00-0000B7000000}"/>
    <hyperlink ref="C211" r:id="rId185" xr:uid="{00000000-0004-0000-0C00-0000B8000000}"/>
    <hyperlink ref="C212" r:id="rId186" xr:uid="{00000000-0004-0000-0C00-0000B9000000}"/>
    <hyperlink ref="C213" r:id="rId187" xr:uid="{00000000-0004-0000-0C00-0000BA000000}"/>
    <hyperlink ref="C214" r:id="rId188" xr:uid="{00000000-0004-0000-0C00-0000BB000000}"/>
    <hyperlink ref="C215" r:id="rId189" xr:uid="{00000000-0004-0000-0C00-0000BC000000}"/>
    <hyperlink ref="C216" r:id="rId190" xr:uid="{00000000-0004-0000-0C00-0000BD000000}"/>
    <hyperlink ref="C217" r:id="rId191" xr:uid="{00000000-0004-0000-0C00-0000BE000000}"/>
    <hyperlink ref="C218" r:id="rId192" xr:uid="{00000000-0004-0000-0C00-0000BF000000}"/>
    <hyperlink ref="C219" r:id="rId193" xr:uid="{00000000-0004-0000-0C00-0000C0000000}"/>
    <hyperlink ref="C220" r:id="rId194" xr:uid="{00000000-0004-0000-0C00-0000C1000000}"/>
    <hyperlink ref="C221" r:id="rId195" xr:uid="{00000000-0004-0000-0C00-0000C2000000}"/>
    <hyperlink ref="C222" r:id="rId196" xr:uid="{00000000-0004-0000-0C00-0000C3000000}"/>
    <hyperlink ref="C223" r:id="rId197" xr:uid="{00000000-0004-0000-0C00-0000C4000000}"/>
    <hyperlink ref="C224" r:id="rId198" xr:uid="{00000000-0004-0000-0C00-0000C5000000}"/>
    <hyperlink ref="C225" r:id="rId199" xr:uid="{00000000-0004-0000-0C00-0000C6000000}"/>
    <hyperlink ref="C226" r:id="rId200" xr:uid="{00000000-0004-0000-0C00-0000C7000000}"/>
    <hyperlink ref="C227" r:id="rId201" xr:uid="{00000000-0004-0000-0C00-0000C8000000}"/>
    <hyperlink ref="C228" r:id="rId202" xr:uid="{00000000-0004-0000-0C00-0000C9000000}"/>
    <hyperlink ref="C229" r:id="rId203" xr:uid="{00000000-0004-0000-0C00-0000CA000000}"/>
    <hyperlink ref="C230" r:id="rId204" xr:uid="{00000000-0004-0000-0C00-0000CB000000}"/>
    <hyperlink ref="C231" r:id="rId205" xr:uid="{00000000-0004-0000-0C00-0000CC000000}"/>
    <hyperlink ref="C232" r:id="rId206" xr:uid="{00000000-0004-0000-0C00-0000CD000000}"/>
    <hyperlink ref="C233" r:id="rId207" xr:uid="{00000000-0004-0000-0C00-0000CE000000}"/>
    <hyperlink ref="C234" r:id="rId208" xr:uid="{00000000-0004-0000-0C00-0000CF000000}"/>
    <hyperlink ref="C235" r:id="rId209" xr:uid="{00000000-0004-0000-0C00-0000D0000000}"/>
    <hyperlink ref="C236" r:id="rId210" xr:uid="{00000000-0004-0000-0C00-0000D1000000}"/>
    <hyperlink ref="C237" r:id="rId211" xr:uid="{00000000-0004-0000-0C00-0000D2000000}"/>
    <hyperlink ref="C238" r:id="rId212" xr:uid="{00000000-0004-0000-0C00-0000D3000000}"/>
    <hyperlink ref="C239" r:id="rId213" xr:uid="{00000000-0004-0000-0C00-0000D4000000}"/>
    <hyperlink ref="C240" r:id="rId214" xr:uid="{00000000-0004-0000-0C00-0000D5000000}"/>
    <hyperlink ref="C241" r:id="rId215" xr:uid="{00000000-0004-0000-0C00-0000D6000000}"/>
    <hyperlink ref="C242" r:id="rId216" xr:uid="{00000000-0004-0000-0C00-0000D7000000}"/>
    <hyperlink ref="C243" r:id="rId217" xr:uid="{00000000-0004-0000-0C00-0000D8000000}"/>
    <hyperlink ref="C244" r:id="rId218" xr:uid="{00000000-0004-0000-0C00-0000D9000000}"/>
    <hyperlink ref="C245" r:id="rId219" xr:uid="{00000000-0004-0000-0C00-0000DA000000}"/>
    <hyperlink ref="C246" r:id="rId220" xr:uid="{00000000-0004-0000-0C00-0000DB000000}"/>
    <hyperlink ref="C247" r:id="rId221" xr:uid="{00000000-0004-0000-0C00-0000DC000000}"/>
    <hyperlink ref="C248" r:id="rId222" xr:uid="{00000000-0004-0000-0C00-0000DD000000}"/>
    <hyperlink ref="C249" r:id="rId223" xr:uid="{00000000-0004-0000-0C00-0000DE000000}"/>
    <hyperlink ref="C250" r:id="rId224" xr:uid="{00000000-0004-0000-0C00-0000DF000000}"/>
    <hyperlink ref="C251" r:id="rId225" xr:uid="{00000000-0004-0000-0C00-0000E0000000}"/>
    <hyperlink ref="C252" r:id="rId226" xr:uid="{00000000-0004-0000-0C00-0000E1000000}"/>
    <hyperlink ref="C253" r:id="rId227" xr:uid="{00000000-0004-0000-0C00-0000E2000000}"/>
    <hyperlink ref="C254" r:id="rId228" xr:uid="{00000000-0004-0000-0C00-0000E3000000}"/>
    <hyperlink ref="C255" r:id="rId229" xr:uid="{00000000-0004-0000-0C00-0000E4000000}"/>
    <hyperlink ref="C256" r:id="rId230" xr:uid="{00000000-0004-0000-0C00-0000E5000000}"/>
    <hyperlink ref="C257" r:id="rId231" xr:uid="{00000000-0004-0000-0C00-0000E6000000}"/>
    <hyperlink ref="C258" r:id="rId232" xr:uid="{00000000-0004-0000-0C00-0000E7000000}"/>
    <hyperlink ref="C259" r:id="rId233" xr:uid="{00000000-0004-0000-0C00-0000E8000000}"/>
    <hyperlink ref="C260" r:id="rId234" xr:uid="{00000000-0004-0000-0C00-0000E9000000}"/>
    <hyperlink ref="C261" r:id="rId235" xr:uid="{00000000-0004-0000-0C00-0000EA000000}"/>
    <hyperlink ref="C262" r:id="rId236" xr:uid="{00000000-0004-0000-0C00-0000EB000000}"/>
    <hyperlink ref="C263" r:id="rId237" xr:uid="{00000000-0004-0000-0C00-0000EC000000}"/>
    <hyperlink ref="C264" r:id="rId238" xr:uid="{00000000-0004-0000-0C00-0000ED000000}"/>
    <hyperlink ref="C265" r:id="rId239" xr:uid="{00000000-0004-0000-0C00-0000EE000000}"/>
    <hyperlink ref="C266" r:id="rId240" xr:uid="{00000000-0004-0000-0C00-0000EF000000}"/>
    <hyperlink ref="C267" r:id="rId241" xr:uid="{00000000-0004-0000-0C00-0000F0000000}"/>
    <hyperlink ref="C268" r:id="rId242" xr:uid="{00000000-0004-0000-0C00-0000F1000000}"/>
    <hyperlink ref="C269" r:id="rId243" xr:uid="{00000000-0004-0000-0C00-0000F2000000}"/>
    <hyperlink ref="C270" r:id="rId244" xr:uid="{00000000-0004-0000-0C00-0000F3000000}"/>
    <hyperlink ref="C271" r:id="rId245" xr:uid="{00000000-0004-0000-0C00-0000F4000000}"/>
    <hyperlink ref="C272" r:id="rId246" xr:uid="{00000000-0004-0000-0C00-0000F5000000}"/>
    <hyperlink ref="C273" r:id="rId247" xr:uid="{00000000-0004-0000-0C00-0000F6000000}"/>
    <hyperlink ref="C274" r:id="rId248" xr:uid="{00000000-0004-0000-0C00-0000F7000000}"/>
    <hyperlink ref="C275" r:id="rId249" xr:uid="{00000000-0004-0000-0C00-0000F8000000}"/>
    <hyperlink ref="C276" r:id="rId250" xr:uid="{00000000-0004-0000-0C00-0000F9000000}"/>
    <hyperlink ref="C277" r:id="rId251" xr:uid="{00000000-0004-0000-0C00-0000FA000000}"/>
    <hyperlink ref="C278" r:id="rId252" xr:uid="{00000000-0004-0000-0C00-0000FB000000}"/>
    <hyperlink ref="C279" r:id="rId253" xr:uid="{00000000-0004-0000-0C00-0000FC000000}"/>
    <hyperlink ref="C280" r:id="rId254" xr:uid="{00000000-0004-0000-0C00-0000FD000000}"/>
    <hyperlink ref="C281" r:id="rId255" xr:uid="{00000000-0004-0000-0C00-0000FE000000}"/>
    <hyperlink ref="C282" r:id="rId256" xr:uid="{00000000-0004-0000-0C00-0000FF000000}"/>
    <hyperlink ref="C283" r:id="rId257" xr:uid="{00000000-0004-0000-0C00-000000010000}"/>
    <hyperlink ref="C284" r:id="rId258" xr:uid="{00000000-0004-0000-0C00-000001010000}"/>
    <hyperlink ref="C285" r:id="rId259" xr:uid="{00000000-0004-0000-0C00-000002010000}"/>
    <hyperlink ref="C286" r:id="rId260" xr:uid="{00000000-0004-0000-0C00-000003010000}"/>
    <hyperlink ref="C287" r:id="rId261" xr:uid="{00000000-0004-0000-0C00-000004010000}"/>
    <hyperlink ref="C288" r:id="rId262" xr:uid="{00000000-0004-0000-0C00-000005010000}"/>
    <hyperlink ref="C289" r:id="rId263" xr:uid="{00000000-0004-0000-0C00-000006010000}"/>
    <hyperlink ref="C290" r:id="rId264" xr:uid="{00000000-0004-0000-0C00-000007010000}"/>
    <hyperlink ref="C291" r:id="rId265" xr:uid="{00000000-0004-0000-0C00-000008010000}"/>
    <hyperlink ref="C292" r:id="rId266" xr:uid="{00000000-0004-0000-0C00-000009010000}"/>
    <hyperlink ref="C293" r:id="rId267" xr:uid="{00000000-0004-0000-0C00-00000A010000}"/>
    <hyperlink ref="C294" r:id="rId268" xr:uid="{00000000-0004-0000-0C00-00000B010000}"/>
    <hyperlink ref="C295" r:id="rId269" xr:uid="{00000000-0004-0000-0C00-00000C010000}"/>
    <hyperlink ref="C296" r:id="rId270" xr:uid="{00000000-0004-0000-0C00-00000D010000}"/>
    <hyperlink ref="C297" r:id="rId271" xr:uid="{00000000-0004-0000-0C00-00000E010000}"/>
    <hyperlink ref="C298" r:id="rId272" xr:uid="{00000000-0004-0000-0C00-00000F010000}"/>
    <hyperlink ref="C299" r:id="rId273" xr:uid="{00000000-0004-0000-0C00-000010010000}"/>
    <hyperlink ref="C300" r:id="rId274" xr:uid="{00000000-0004-0000-0C00-000011010000}"/>
    <hyperlink ref="C301" r:id="rId275" xr:uid="{00000000-0004-0000-0C00-000012010000}"/>
    <hyperlink ref="C302" r:id="rId276" xr:uid="{00000000-0004-0000-0C00-000013010000}"/>
    <hyperlink ref="C303" r:id="rId277" xr:uid="{00000000-0004-0000-0C00-000014010000}"/>
    <hyperlink ref="C304" r:id="rId278" xr:uid="{00000000-0004-0000-0C00-000015010000}"/>
    <hyperlink ref="C305" r:id="rId279" xr:uid="{00000000-0004-0000-0C00-000016010000}"/>
    <hyperlink ref="C306" r:id="rId280" xr:uid="{00000000-0004-0000-0C00-000017010000}"/>
    <hyperlink ref="C307" r:id="rId281" xr:uid="{00000000-0004-0000-0C00-000018010000}"/>
    <hyperlink ref="C308" r:id="rId282" xr:uid="{00000000-0004-0000-0C00-000019010000}"/>
    <hyperlink ref="C309" r:id="rId283" xr:uid="{00000000-0004-0000-0C00-00001A010000}"/>
    <hyperlink ref="C310" r:id="rId284" xr:uid="{00000000-0004-0000-0C00-00001B010000}"/>
    <hyperlink ref="C311" r:id="rId285" xr:uid="{00000000-0004-0000-0C00-00001C010000}"/>
    <hyperlink ref="C312" r:id="rId286" xr:uid="{00000000-0004-0000-0C00-00001D010000}"/>
    <hyperlink ref="C313" r:id="rId287" xr:uid="{00000000-0004-0000-0C00-00001E010000}"/>
    <hyperlink ref="C314" r:id="rId288" xr:uid="{00000000-0004-0000-0C00-00001F010000}"/>
    <hyperlink ref="C315" r:id="rId289" xr:uid="{00000000-0004-0000-0C00-000020010000}"/>
    <hyperlink ref="C316" r:id="rId290" xr:uid="{00000000-0004-0000-0C00-000021010000}"/>
    <hyperlink ref="C317" r:id="rId291" xr:uid="{00000000-0004-0000-0C00-000022010000}"/>
    <hyperlink ref="C318" r:id="rId292" xr:uid="{00000000-0004-0000-0C00-000023010000}"/>
    <hyperlink ref="C319" r:id="rId293" xr:uid="{00000000-0004-0000-0C00-000024010000}"/>
    <hyperlink ref="C320" r:id="rId294" xr:uid="{00000000-0004-0000-0C00-000025010000}"/>
    <hyperlink ref="C321" r:id="rId295" xr:uid="{00000000-0004-0000-0C00-000026010000}"/>
    <hyperlink ref="C322" r:id="rId296" xr:uid="{00000000-0004-0000-0C00-000027010000}"/>
    <hyperlink ref="C323" r:id="rId297" xr:uid="{00000000-0004-0000-0C00-000028010000}"/>
    <hyperlink ref="C324" r:id="rId298" xr:uid="{00000000-0004-0000-0C00-000029010000}"/>
    <hyperlink ref="C325" r:id="rId299" xr:uid="{00000000-0004-0000-0C00-00002A010000}"/>
    <hyperlink ref="C326" r:id="rId300" xr:uid="{00000000-0004-0000-0C00-00002B010000}"/>
    <hyperlink ref="C327" r:id="rId301" xr:uid="{00000000-0004-0000-0C00-00002C010000}"/>
    <hyperlink ref="C328" r:id="rId302" xr:uid="{00000000-0004-0000-0C00-00002D010000}"/>
    <hyperlink ref="C329" r:id="rId303" xr:uid="{00000000-0004-0000-0C00-00002E010000}"/>
    <hyperlink ref="C330" r:id="rId304" xr:uid="{00000000-0004-0000-0C00-00002F010000}"/>
    <hyperlink ref="C331" r:id="rId305" xr:uid="{00000000-0004-0000-0C00-000030010000}"/>
    <hyperlink ref="A332" r:id="rId306" xr:uid="{00000000-0004-0000-0C00-000031010000}"/>
    <hyperlink ref="A333" r:id="rId307" xr:uid="{00000000-0004-0000-0C00-000032010000}"/>
    <hyperlink ref="C334" r:id="rId308" xr:uid="{00000000-0004-0000-0C00-000033010000}"/>
    <hyperlink ref="J334" r:id="rId309" xr:uid="{00000000-0004-0000-0C00-000034010000}"/>
    <hyperlink ref="A335" r:id="rId310" xr:uid="{00000000-0004-0000-0C00-000035010000}"/>
    <hyperlink ref="J335" r:id="rId311" xr:uid="{00000000-0004-0000-0C00-000036010000}"/>
    <hyperlink ref="A336" r:id="rId312" xr:uid="{00000000-0004-0000-0C00-000037010000}"/>
    <hyperlink ref="A337" r:id="rId313" xr:uid="{00000000-0004-0000-0C00-000038010000}"/>
    <hyperlink ref="A338" r:id="rId314" xr:uid="{00000000-0004-0000-0C00-000039010000}"/>
    <hyperlink ref="A339" r:id="rId315" xr:uid="{00000000-0004-0000-0C00-00003A010000}"/>
    <hyperlink ref="C339" r:id="rId316" xr:uid="{00000000-0004-0000-0C00-00003B010000}"/>
    <hyperlink ref="C340" r:id="rId317" xr:uid="{00000000-0004-0000-0C00-00003C010000}"/>
    <hyperlink ref="C341" r:id="rId318" xr:uid="{00000000-0004-0000-0C00-00003D010000}"/>
    <hyperlink ref="A342" r:id="rId319" xr:uid="{00000000-0004-0000-0C00-00003E010000}"/>
    <hyperlink ref="A343" r:id="rId320" xr:uid="{00000000-0004-0000-0C00-00003F010000}"/>
    <hyperlink ref="A344" r:id="rId321" xr:uid="{00000000-0004-0000-0C00-000040010000}"/>
    <hyperlink ref="A345" r:id="rId322" xr:uid="{00000000-0004-0000-0C00-000041010000}"/>
    <hyperlink ref="A346" r:id="rId323" xr:uid="{00000000-0004-0000-0C00-000042010000}"/>
    <hyperlink ref="A347" r:id="rId324" xr:uid="{00000000-0004-0000-0C00-000043010000}"/>
    <hyperlink ref="A348" r:id="rId325" xr:uid="{00000000-0004-0000-0C00-000044010000}"/>
    <hyperlink ref="A349" r:id="rId326" xr:uid="{00000000-0004-0000-0C00-000045010000}"/>
    <hyperlink ref="A350" r:id="rId327" xr:uid="{00000000-0004-0000-0C00-000046010000}"/>
    <hyperlink ref="C351" r:id="rId328" xr:uid="{00000000-0004-0000-0C00-000047010000}"/>
    <hyperlink ref="A352" r:id="rId329" xr:uid="{00000000-0004-0000-0C00-000048010000}"/>
    <hyperlink ref="J352" r:id="rId330" xr:uid="{00000000-0004-0000-0C00-000049010000}"/>
    <hyperlink ref="C353" r:id="rId331" xr:uid="{00000000-0004-0000-0C00-00004A010000}"/>
    <hyperlink ref="A354" r:id="rId332" xr:uid="{00000000-0004-0000-0C00-00004B010000}"/>
    <hyperlink ref="A356" r:id="rId333" xr:uid="{00000000-0004-0000-0C00-00004C010000}"/>
    <hyperlink ref="J356" r:id="rId334" xr:uid="{00000000-0004-0000-0C00-00004D010000}"/>
    <hyperlink ref="A357" r:id="rId335" xr:uid="{00000000-0004-0000-0C00-00004E010000}"/>
    <hyperlink ref="A358" r:id="rId336" xr:uid="{00000000-0004-0000-0C00-00004F010000}"/>
    <hyperlink ref="A359" r:id="rId337" xr:uid="{00000000-0004-0000-0C00-000050010000}"/>
    <hyperlink ref="A360" r:id="rId338" xr:uid="{00000000-0004-0000-0C00-000051010000}"/>
    <hyperlink ref="A361" r:id="rId339" xr:uid="{00000000-0004-0000-0C00-000052010000}"/>
    <hyperlink ref="C362" r:id="rId340" xr:uid="{00000000-0004-0000-0C00-000053010000}"/>
    <hyperlink ref="A363" r:id="rId341" xr:uid="{00000000-0004-0000-0C00-000054010000}"/>
    <hyperlink ref="A364" r:id="rId342" xr:uid="{00000000-0004-0000-0C00-000055010000}"/>
    <hyperlink ref="A365" r:id="rId343" xr:uid="{00000000-0004-0000-0C00-000056010000}"/>
    <hyperlink ref="A366" r:id="rId344" xr:uid="{00000000-0004-0000-0C00-000057010000}"/>
    <hyperlink ref="C367" r:id="rId345" xr:uid="{00000000-0004-0000-0C00-000058010000}"/>
    <hyperlink ref="C368" r:id="rId346" xr:uid="{00000000-0004-0000-0C00-000059010000}"/>
    <hyperlink ref="C369" r:id="rId347" xr:uid="{00000000-0004-0000-0C00-00005A010000}"/>
    <hyperlink ref="C370" r:id="rId348" xr:uid="{00000000-0004-0000-0C00-00005B010000}"/>
    <hyperlink ref="A371" r:id="rId349" xr:uid="{00000000-0004-0000-0C00-00005C010000}"/>
    <hyperlink ref="C373" r:id="rId350" xr:uid="{00000000-0004-0000-0C00-00005D010000}"/>
    <hyperlink ref="A374" r:id="rId351" xr:uid="{00000000-0004-0000-0C00-00005E010000}"/>
    <hyperlink ref="C374" r:id="rId352" xr:uid="{00000000-0004-0000-0C00-00005F010000}"/>
    <hyperlink ref="A375" r:id="rId353" xr:uid="{00000000-0004-0000-0C00-000060010000}"/>
    <hyperlink ref="C375" r:id="rId354" xr:uid="{00000000-0004-0000-0C00-000061010000}"/>
    <hyperlink ref="A376" r:id="rId355" xr:uid="{00000000-0004-0000-0C00-000062010000}"/>
    <hyperlink ref="C376" r:id="rId356" xr:uid="{00000000-0004-0000-0C00-000063010000}"/>
    <hyperlink ref="A377" r:id="rId357" xr:uid="{00000000-0004-0000-0C00-000064010000}"/>
    <hyperlink ref="A378" r:id="rId358" xr:uid="{00000000-0004-0000-0C00-000065010000}"/>
    <hyperlink ref="C379" r:id="rId359" xr:uid="{00000000-0004-0000-0C00-000066010000}"/>
    <hyperlink ref="C381" r:id="rId360" xr:uid="{00000000-0004-0000-0C00-000067010000}"/>
    <hyperlink ref="C385" r:id="rId361" xr:uid="{00000000-0004-0000-0C00-000068010000}"/>
    <hyperlink ref="A389" r:id="rId362" xr:uid="{00000000-0004-0000-0C00-000069010000}"/>
    <hyperlink ref="C389" r:id="rId363" xr:uid="{00000000-0004-0000-0C00-00006A010000}"/>
    <hyperlink ref="A390" r:id="rId364" xr:uid="{00000000-0004-0000-0C00-00006B010000}"/>
    <hyperlink ref="A391" r:id="rId365" xr:uid="{00000000-0004-0000-0C00-00006C010000}"/>
    <hyperlink ref="A392" r:id="rId366" xr:uid="{00000000-0004-0000-0C00-00006D010000}"/>
    <hyperlink ref="C392" r:id="rId367" xr:uid="{00000000-0004-0000-0C00-00006E010000}"/>
    <hyperlink ref="A393" r:id="rId368" xr:uid="{00000000-0004-0000-0C00-00006F010000}"/>
    <hyperlink ref="A394" r:id="rId369" xr:uid="{00000000-0004-0000-0C00-000070010000}"/>
    <hyperlink ref="A395" r:id="rId370" xr:uid="{00000000-0004-0000-0C00-000071010000}"/>
    <hyperlink ref="A396" r:id="rId371" xr:uid="{00000000-0004-0000-0C00-000072010000}"/>
    <hyperlink ref="A397" r:id="rId372" xr:uid="{00000000-0004-0000-0C00-000073010000}"/>
    <hyperlink ref="C397" r:id="rId373" xr:uid="{00000000-0004-0000-0C00-000074010000}"/>
    <hyperlink ref="A398" r:id="rId374" xr:uid="{00000000-0004-0000-0C00-000075010000}"/>
    <hyperlink ref="C399" r:id="rId375" xr:uid="{00000000-0004-0000-0C00-000076010000}"/>
    <hyperlink ref="C403" r:id="rId376" xr:uid="{00000000-0004-0000-0C00-000077010000}"/>
    <hyperlink ref="C405" r:id="rId377" xr:uid="{00000000-0004-0000-0C00-000078010000}"/>
    <hyperlink ref="C410" r:id="rId378" xr:uid="{00000000-0004-0000-0C00-000079010000}"/>
    <hyperlink ref="C411" r:id="rId379" xr:uid="{00000000-0004-0000-0C00-00007A010000}"/>
    <hyperlink ref="C412" r:id="rId380" xr:uid="{00000000-0004-0000-0C00-00007B010000}"/>
    <hyperlink ref="C413" r:id="rId381" xr:uid="{00000000-0004-0000-0C00-00007C010000}"/>
    <hyperlink ref="C415" r:id="rId382" xr:uid="{00000000-0004-0000-0C00-00007D010000}"/>
    <hyperlink ref="C416" r:id="rId383" xr:uid="{00000000-0004-0000-0C00-00007E010000}"/>
    <hyperlink ref="C421" r:id="rId384" xr:uid="{00000000-0004-0000-0C00-00007F010000}"/>
    <hyperlink ref="C423" r:id="rId385" xr:uid="{00000000-0004-0000-0C00-000080010000}"/>
    <hyperlink ref="C424" r:id="rId386" xr:uid="{00000000-0004-0000-0C00-000081010000}"/>
    <hyperlink ref="C430" r:id="rId387" xr:uid="{00000000-0004-0000-0C00-000082010000}"/>
    <hyperlink ref="C434" r:id="rId388" xr:uid="{00000000-0004-0000-0C00-000083010000}"/>
    <hyperlink ref="C435" r:id="rId389" xr:uid="{00000000-0004-0000-0C00-000084010000}"/>
    <hyperlink ref="C437" r:id="rId390" xr:uid="{00000000-0004-0000-0C00-000085010000}"/>
    <hyperlink ref="C438" r:id="rId391" xr:uid="{00000000-0004-0000-0C00-000086010000}"/>
    <hyperlink ref="C439" r:id="rId392" xr:uid="{00000000-0004-0000-0C00-000087010000}"/>
    <hyperlink ref="C442" r:id="rId393" xr:uid="{00000000-0004-0000-0C00-000088010000}"/>
    <hyperlink ref="C443" r:id="rId394" xr:uid="{00000000-0004-0000-0C00-000089010000}"/>
    <hyperlink ref="C444" r:id="rId395" xr:uid="{00000000-0004-0000-0C00-00008A010000}"/>
    <hyperlink ref="C446" r:id="rId396" xr:uid="{00000000-0004-0000-0C00-00008B010000}"/>
    <hyperlink ref="C449" r:id="rId397" xr:uid="{00000000-0004-0000-0C00-00008C010000}"/>
    <hyperlink ref="C451" r:id="rId398" xr:uid="{00000000-0004-0000-0C00-00008D010000}"/>
    <hyperlink ref="C457" r:id="rId399" xr:uid="{00000000-0004-0000-0C00-00008E010000}"/>
    <hyperlink ref="C458" r:id="rId400" xr:uid="{00000000-0004-0000-0C00-00008F010000}"/>
    <hyperlink ref="C459" r:id="rId401" xr:uid="{00000000-0004-0000-0C00-000090010000}"/>
    <hyperlink ref="C460" r:id="rId402" xr:uid="{00000000-0004-0000-0C00-000091010000}"/>
    <hyperlink ref="C461" r:id="rId403" xr:uid="{00000000-0004-0000-0C00-000092010000}"/>
    <hyperlink ref="C462" r:id="rId404" xr:uid="{00000000-0004-0000-0C00-000093010000}"/>
    <hyperlink ref="J462" r:id="rId405" xr:uid="{00000000-0004-0000-0C00-000094010000}"/>
    <hyperlink ref="C463" r:id="rId406" xr:uid="{00000000-0004-0000-0C00-000095010000}"/>
    <hyperlink ref="C464" r:id="rId407" xr:uid="{00000000-0004-0000-0C00-000096010000}"/>
    <hyperlink ref="C465" r:id="rId408" xr:uid="{00000000-0004-0000-0C00-000097010000}"/>
    <hyperlink ref="C466" r:id="rId409" xr:uid="{00000000-0004-0000-0C00-000098010000}"/>
    <hyperlink ref="C467" r:id="rId410" xr:uid="{00000000-0004-0000-0C00-000099010000}"/>
    <hyperlink ref="C468" r:id="rId411" xr:uid="{00000000-0004-0000-0C00-00009A010000}"/>
    <hyperlink ref="C469" r:id="rId412" xr:uid="{00000000-0004-0000-0C00-00009B010000}"/>
    <hyperlink ref="C470" r:id="rId413" xr:uid="{00000000-0004-0000-0C00-00009C010000}"/>
    <hyperlink ref="C471" r:id="rId414" xr:uid="{00000000-0004-0000-0C00-00009D010000}"/>
    <hyperlink ref="C472" r:id="rId415" xr:uid="{00000000-0004-0000-0C00-00009E010000}"/>
    <hyperlink ref="C473" r:id="rId416" xr:uid="{00000000-0004-0000-0C00-00009F010000}"/>
    <hyperlink ref="C476" r:id="rId417" xr:uid="{00000000-0004-0000-0C00-0000A0010000}"/>
    <hyperlink ref="C477" r:id="rId418" xr:uid="{00000000-0004-0000-0C00-0000A1010000}"/>
    <hyperlink ref="C483" r:id="rId419" xr:uid="{00000000-0004-0000-0C00-0000A2010000}"/>
    <hyperlink ref="C484" r:id="rId420" xr:uid="{00000000-0004-0000-0C00-0000A3010000}"/>
    <hyperlink ref="C487" r:id="rId421" xr:uid="{00000000-0004-0000-0C00-0000A4010000}"/>
    <hyperlink ref="C490" r:id="rId422" xr:uid="{00000000-0004-0000-0C00-0000A5010000}"/>
    <hyperlink ref="C493" r:id="rId423" xr:uid="{00000000-0004-0000-0C00-0000A6010000}"/>
    <hyperlink ref="C494" r:id="rId424" xr:uid="{00000000-0004-0000-0C00-0000A7010000}"/>
    <hyperlink ref="C495" r:id="rId425" xr:uid="{00000000-0004-0000-0C00-0000A8010000}"/>
    <hyperlink ref="C496" r:id="rId426" xr:uid="{00000000-0004-0000-0C00-0000A9010000}"/>
    <hyperlink ref="J496" r:id="rId427" xr:uid="{00000000-0004-0000-0C00-0000AA010000}"/>
    <hyperlink ref="C497" r:id="rId428" xr:uid="{00000000-0004-0000-0C00-0000AB010000}"/>
    <hyperlink ref="J497" r:id="rId429" xr:uid="{00000000-0004-0000-0C00-0000AC010000}"/>
    <hyperlink ref="C498" r:id="rId430" xr:uid="{00000000-0004-0000-0C00-0000AD010000}"/>
    <hyperlink ref="C499" r:id="rId431" xr:uid="{00000000-0004-0000-0C00-0000AE010000}"/>
    <hyperlink ref="C500" r:id="rId432" xr:uid="{00000000-0004-0000-0C00-0000AF010000}"/>
    <hyperlink ref="C501" r:id="rId433" xr:uid="{00000000-0004-0000-0C00-0000B0010000}"/>
    <hyperlink ref="C502" r:id="rId434" xr:uid="{00000000-0004-0000-0C00-0000B1010000}"/>
    <hyperlink ref="J502" r:id="rId435" xr:uid="{00000000-0004-0000-0C00-0000B2010000}"/>
    <hyperlink ref="C503" r:id="rId436" xr:uid="{00000000-0004-0000-0C00-0000B3010000}"/>
    <hyperlink ref="C504" r:id="rId437" xr:uid="{00000000-0004-0000-0C00-0000B4010000}"/>
    <hyperlink ref="C505" r:id="rId438" xr:uid="{00000000-0004-0000-0C00-0000B5010000}"/>
    <hyperlink ref="C506" r:id="rId439" xr:uid="{00000000-0004-0000-0C00-0000B6010000}"/>
    <hyperlink ref="C508" r:id="rId440" xr:uid="{00000000-0004-0000-0C00-0000B7010000}"/>
    <hyperlink ref="C510" r:id="rId441" xr:uid="{00000000-0004-0000-0C00-0000B8010000}"/>
    <hyperlink ref="C512" r:id="rId442" xr:uid="{00000000-0004-0000-0C00-0000B9010000}"/>
    <hyperlink ref="C518" r:id="rId443" xr:uid="{00000000-0004-0000-0C00-0000BA010000}"/>
    <hyperlink ref="C519" r:id="rId444" xr:uid="{00000000-0004-0000-0C00-0000BB010000}"/>
    <hyperlink ref="C520" r:id="rId445" xr:uid="{00000000-0004-0000-0C00-0000BC010000}"/>
    <hyperlink ref="J520" r:id="rId446" xr:uid="{00000000-0004-0000-0C00-0000BD010000}"/>
    <hyperlink ref="C521" r:id="rId447" xr:uid="{00000000-0004-0000-0C00-0000BE010000}"/>
    <hyperlink ref="C522" r:id="rId448" xr:uid="{00000000-0004-0000-0C00-0000BF010000}"/>
    <hyperlink ref="C523" r:id="rId449" xr:uid="{00000000-0004-0000-0C00-0000C0010000}"/>
    <hyperlink ref="C526" r:id="rId450" xr:uid="{00000000-0004-0000-0C00-0000C1010000}"/>
    <hyperlink ref="C527" r:id="rId451" xr:uid="{00000000-0004-0000-0C00-0000C2010000}"/>
    <hyperlink ref="C528" r:id="rId452" xr:uid="{00000000-0004-0000-0C00-0000C3010000}"/>
    <hyperlink ref="C529" r:id="rId453" xr:uid="{00000000-0004-0000-0C00-0000C4010000}"/>
    <hyperlink ref="C533" r:id="rId454" xr:uid="{00000000-0004-0000-0C00-0000C5010000}"/>
    <hyperlink ref="C535" r:id="rId455" xr:uid="{00000000-0004-0000-0C00-0000C6010000}"/>
    <hyperlink ref="C538" r:id="rId456" xr:uid="{00000000-0004-0000-0C00-0000C7010000}"/>
    <hyperlink ref="C542" r:id="rId457" xr:uid="{00000000-0004-0000-0C00-0000C8010000}"/>
    <hyperlink ref="C544" r:id="rId458" xr:uid="{00000000-0004-0000-0C00-0000C9010000}"/>
    <hyperlink ref="C545" r:id="rId459" xr:uid="{00000000-0004-0000-0C00-0000CA010000}"/>
    <hyperlink ref="C546" r:id="rId460" xr:uid="{00000000-0004-0000-0C00-0000CB010000}"/>
    <hyperlink ref="C547" r:id="rId461" xr:uid="{00000000-0004-0000-0C00-0000CC010000}"/>
    <hyperlink ref="C548" r:id="rId462" xr:uid="{00000000-0004-0000-0C00-0000CD010000}"/>
    <hyperlink ref="C549" r:id="rId463" xr:uid="{00000000-0004-0000-0C00-0000CE010000}"/>
    <hyperlink ref="C550" r:id="rId464" xr:uid="{00000000-0004-0000-0C00-0000CF010000}"/>
    <hyperlink ref="C551" r:id="rId465" xr:uid="{00000000-0004-0000-0C00-0000D0010000}"/>
    <hyperlink ref="C552" r:id="rId466" xr:uid="{00000000-0004-0000-0C00-0000D1010000}"/>
    <hyperlink ref="C553" r:id="rId467" xr:uid="{00000000-0004-0000-0C00-0000D2010000}"/>
    <hyperlink ref="C554" r:id="rId468" xr:uid="{00000000-0004-0000-0C00-0000D3010000}"/>
    <hyperlink ref="C555" r:id="rId469" xr:uid="{00000000-0004-0000-0C00-0000D4010000}"/>
    <hyperlink ref="C556" r:id="rId470" xr:uid="{00000000-0004-0000-0C00-0000D5010000}"/>
    <hyperlink ref="C557" r:id="rId471" xr:uid="{00000000-0004-0000-0C00-0000D6010000}"/>
    <hyperlink ref="C558" r:id="rId472" xr:uid="{00000000-0004-0000-0C00-0000D7010000}"/>
    <hyperlink ref="C559" r:id="rId473" xr:uid="{00000000-0004-0000-0C00-0000D8010000}"/>
    <hyperlink ref="C561" r:id="rId474" xr:uid="{00000000-0004-0000-0C00-0000D9010000}"/>
    <hyperlink ref="C567" r:id="rId475" xr:uid="{00000000-0004-0000-0C00-0000DA010000}"/>
    <hyperlink ref="C568" r:id="rId476" xr:uid="{00000000-0004-0000-0C00-0000DB010000}"/>
    <hyperlink ref="C569" r:id="rId477" xr:uid="{00000000-0004-0000-0C00-0000DC010000}"/>
    <hyperlink ref="C570" r:id="rId478" xr:uid="{00000000-0004-0000-0C00-0000DD010000}"/>
    <hyperlink ref="C571" r:id="rId479" xr:uid="{00000000-0004-0000-0C00-0000DE010000}"/>
    <hyperlink ref="C572" r:id="rId480" xr:uid="{00000000-0004-0000-0C00-0000DF010000}"/>
    <hyperlink ref="C573" r:id="rId481" xr:uid="{00000000-0004-0000-0C00-0000E0010000}"/>
    <hyperlink ref="C574" r:id="rId482" xr:uid="{00000000-0004-0000-0C00-0000E1010000}"/>
    <hyperlink ref="C575" r:id="rId483" xr:uid="{00000000-0004-0000-0C00-0000E2010000}"/>
    <hyperlink ref="C576" r:id="rId484" xr:uid="{00000000-0004-0000-0C00-0000E3010000}"/>
    <hyperlink ref="C577" r:id="rId485" xr:uid="{00000000-0004-0000-0C00-0000E4010000}"/>
    <hyperlink ref="C578" r:id="rId486" xr:uid="{00000000-0004-0000-0C00-0000E5010000}"/>
    <hyperlink ref="C579" r:id="rId487" xr:uid="{00000000-0004-0000-0C00-0000E6010000}"/>
    <hyperlink ref="C580" r:id="rId488" xr:uid="{00000000-0004-0000-0C00-0000E7010000}"/>
    <hyperlink ref="C581" r:id="rId489" xr:uid="{00000000-0004-0000-0C00-0000E8010000}"/>
    <hyperlink ref="C582" r:id="rId490" xr:uid="{00000000-0004-0000-0C00-0000E9010000}"/>
    <hyperlink ref="C583" r:id="rId491" xr:uid="{00000000-0004-0000-0C00-0000EA010000}"/>
    <hyperlink ref="A584" r:id="rId492" xr:uid="{00000000-0004-0000-0C00-0000EB010000}"/>
    <hyperlink ref="C584" r:id="rId493" xr:uid="{00000000-0004-0000-0C00-0000EC010000}"/>
    <hyperlink ref="C585" r:id="rId494" xr:uid="{00000000-0004-0000-0C00-0000ED010000}"/>
    <hyperlink ref="A590" r:id="rId495" xr:uid="{00000000-0004-0000-0C00-0000EE010000}"/>
    <hyperlink ref="C590" r:id="rId496" xr:uid="{00000000-0004-0000-0C00-0000EF010000}"/>
    <hyperlink ref="C591" r:id="rId497" xr:uid="{00000000-0004-0000-0C00-0000F0010000}"/>
    <hyperlink ref="C592" r:id="rId498" xr:uid="{00000000-0004-0000-0C00-0000F1010000}"/>
    <hyperlink ref="C593" r:id="rId499" xr:uid="{00000000-0004-0000-0C00-0000F2010000}"/>
    <hyperlink ref="C594" r:id="rId500" xr:uid="{00000000-0004-0000-0C00-0000F3010000}"/>
    <hyperlink ref="C595" r:id="rId501" xr:uid="{00000000-0004-0000-0C00-0000F4010000}"/>
    <hyperlink ref="C596" r:id="rId502" xr:uid="{00000000-0004-0000-0C00-0000F5010000}"/>
    <hyperlink ref="C597" r:id="rId503" xr:uid="{00000000-0004-0000-0C00-0000F6010000}"/>
    <hyperlink ref="C598" r:id="rId504" xr:uid="{00000000-0004-0000-0C00-0000F7010000}"/>
    <hyperlink ref="C599" r:id="rId505" xr:uid="{00000000-0004-0000-0C00-0000F8010000}"/>
    <hyperlink ref="C600" r:id="rId506" xr:uid="{00000000-0004-0000-0C00-0000F9010000}"/>
    <hyperlink ref="C601" r:id="rId507" xr:uid="{00000000-0004-0000-0C00-0000FA010000}"/>
    <hyperlink ref="C602" r:id="rId508" xr:uid="{00000000-0004-0000-0C00-0000FB010000}"/>
    <hyperlink ref="C603" r:id="rId509" xr:uid="{00000000-0004-0000-0C00-0000FC010000}"/>
    <hyperlink ref="C604" r:id="rId510" xr:uid="{00000000-0004-0000-0C00-0000FD010000}"/>
    <hyperlink ref="C605" r:id="rId511" xr:uid="{00000000-0004-0000-0C00-0000FE010000}"/>
    <hyperlink ref="C606" r:id="rId512" xr:uid="{00000000-0004-0000-0C00-0000FF010000}"/>
    <hyperlink ref="C607" r:id="rId513" xr:uid="{00000000-0004-0000-0C00-000000020000}"/>
    <hyperlink ref="C608" r:id="rId514" xr:uid="{00000000-0004-0000-0C00-000001020000}"/>
    <hyperlink ref="C609" r:id="rId515" xr:uid="{00000000-0004-0000-0C00-000002020000}"/>
    <hyperlink ref="C610" r:id="rId516" xr:uid="{00000000-0004-0000-0C00-000003020000}"/>
    <hyperlink ref="C611" r:id="rId517" xr:uid="{00000000-0004-0000-0C00-000004020000}"/>
    <hyperlink ref="C614" r:id="rId518" xr:uid="{00000000-0004-0000-0C00-000005020000}"/>
    <hyperlink ref="C615" r:id="rId519" xr:uid="{00000000-0004-0000-0C00-000006020000}"/>
    <hyperlink ref="C616" r:id="rId520" xr:uid="{00000000-0004-0000-0C00-000007020000}"/>
    <hyperlink ref="C617" r:id="rId521" xr:uid="{00000000-0004-0000-0C00-000008020000}"/>
    <hyperlink ref="C618" r:id="rId522" xr:uid="{00000000-0004-0000-0C00-000009020000}"/>
    <hyperlink ref="C619" r:id="rId523" xr:uid="{00000000-0004-0000-0C00-00000A020000}"/>
    <hyperlink ref="C620" r:id="rId524" xr:uid="{00000000-0004-0000-0C00-00000B020000}"/>
    <hyperlink ref="C621" r:id="rId525" xr:uid="{00000000-0004-0000-0C00-00000C020000}"/>
    <hyperlink ref="C622" r:id="rId526" xr:uid="{00000000-0004-0000-0C00-00000D020000}"/>
    <hyperlink ref="C623" r:id="rId527" xr:uid="{00000000-0004-0000-0C00-00000E020000}"/>
    <hyperlink ref="C624" r:id="rId528" xr:uid="{00000000-0004-0000-0C00-00000F020000}"/>
    <hyperlink ref="C625" r:id="rId529" xr:uid="{00000000-0004-0000-0C00-000010020000}"/>
    <hyperlink ref="C628" r:id="rId530" xr:uid="{00000000-0004-0000-0C00-000011020000}"/>
    <hyperlink ref="C629" r:id="rId531" xr:uid="{00000000-0004-0000-0C00-000012020000}"/>
    <hyperlink ref="C630" r:id="rId532" xr:uid="{00000000-0004-0000-0C00-000013020000}"/>
    <hyperlink ref="C631" r:id="rId533" xr:uid="{00000000-0004-0000-0C00-000014020000}"/>
    <hyperlink ref="C632" r:id="rId534" xr:uid="{00000000-0004-0000-0C00-000015020000}"/>
    <hyperlink ref="C633" r:id="rId535" xr:uid="{00000000-0004-0000-0C00-000016020000}"/>
    <hyperlink ref="C634" r:id="rId536" xr:uid="{00000000-0004-0000-0C00-000017020000}"/>
    <hyperlink ref="C635" r:id="rId537" xr:uid="{00000000-0004-0000-0C00-000018020000}"/>
    <hyperlink ref="C636" r:id="rId538" xr:uid="{00000000-0004-0000-0C00-000019020000}"/>
    <hyperlink ref="C638" r:id="rId539" xr:uid="{00000000-0004-0000-0C00-00001A020000}"/>
    <hyperlink ref="C639" r:id="rId540" xr:uid="{00000000-0004-0000-0C00-00001B020000}"/>
    <hyperlink ref="C640" r:id="rId541" xr:uid="{00000000-0004-0000-0C00-00001C020000}"/>
    <hyperlink ref="C641" r:id="rId542" xr:uid="{00000000-0004-0000-0C00-00001D020000}"/>
    <hyperlink ref="C642" r:id="rId543" xr:uid="{00000000-0004-0000-0C00-00001E020000}"/>
    <hyperlink ref="C643" r:id="rId544" xr:uid="{00000000-0004-0000-0C00-00001F020000}"/>
    <hyperlink ref="C645" r:id="rId545" xr:uid="{00000000-0004-0000-0C00-000020020000}"/>
    <hyperlink ref="C646" r:id="rId546" xr:uid="{00000000-0004-0000-0C00-000021020000}"/>
    <hyperlink ref="C648" r:id="rId547" xr:uid="{00000000-0004-0000-0C00-000022020000}"/>
    <hyperlink ref="C649" r:id="rId548" xr:uid="{00000000-0004-0000-0C00-000023020000}"/>
    <hyperlink ref="C650" r:id="rId549" xr:uid="{00000000-0004-0000-0C00-000024020000}"/>
    <hyperlink ref="C653" r:id="rId550" xr:uid="{00000000-0004-0000-0C00-000025020000}"/>
    <hyperlink ref="C658" r:id="rId551" xr:uid="{00000000-0004-0000-0C00-000026020000}"/>
    <hyperlink ref="J658" r:id="rId552" xr:uid="{00000000-0004-0000-0C00-000027020000}"/>
    <hyperlink ref="C659" r:id="rId553" xr:uid="{00000000-0004-0000-0C00-000028020000}"/>
    <hyperlink ref="C660" r:id="rId554" xr:uid="{00000000-0004-0000-0C00-000029020000}"/>
    <hyperlink ref="C662" r:id="rId555" xr:uid="{00000000-0004-0000-0C00-00002A020000}"/>
    <hyperlink ref="C667" r:id="rId556" xr:uid="{00000000-0004-0000-0C00-00002B020000}"/>
    <hyperlink ref="A668" r:id="rId557" xr:uid="{00000000-0004-0000-0C00-00002C020000}"/>
    <hyperlink ref="C668" r:id="rId558" xr:uid="{00000000-0004-0000-0C00-00002D020000}"/>
    <hyperlink ref="A669" r:id="rId559" xr:uid="{00000000-0004-0000-0C00-00002E020000}"/>
    <hyperlink ref="A670" r:id="rId560" xr:uid="{00000000-0004-0000-0C00-00002F020000}"/>
    <hyperlink ref="C670" r:id="rId561" xr:uid="{00000000-0004-0000-0C00-000030020000}"/>
    <hyperlink ref="A671" r:id="rId562" xr:uid="{00000000-0004-0000-0C00-000031020000}"/>
    <hyperlink ref="A672" r:id="rId563" xr:uid="{00000000-0004-0000-0C00-000032020000}"/>
    <hyperlink ref="C672" r:id="rId564" xr:uid="{00000000-0004-0000-0C00-000033020000}"/>
    <hyperlink ref="A673" r:id="rId565" xr:uid="{00000000-0004-0000-0C00-000034020000}"/>
    <hyperlink ref="A674" r:id="rId566" xr:uid="{00000000-0004-0000-0C00-000035020000}"/>
    <hyperlink ref="A675" r:id="rId567" xr:uid="{00000000-0004-0000-0C00-000036020000}"/>
    <hyperlink ref="C676" r:id="rId568" xr:uid="{00000000-0004-0000-0C00-000037020000}"/>
    <hyperlink ref="C677" r:id="rId569" xr:uid="{00000000-0004-0000-0C00-000038020000}"/>
    <hyperlink ref="C678" r:id="rId570" xr:uid="{00000000-0004-0000-0C00-000039020000}"/>
    <hyperlink ref="C679" r:id="rId571" xr:uid="{00000000-0004-0000-0C00-00003A020000}"/>
    <hyperlink ref="C680" r:id="rId572" xr:uid="{00000000-0004-0000-0C00-00003B020000}"/>
    <hyperlink ref="C681" r:id="rId573" xr:uid="{00000000-0004-0000-0C00-00003C020000}"/>
    <hyperlink ref="C682" r:id="rId574" xr:uid="{00000000-0004-0000-0C00-00003D020000}"/>
    <hyperlink ref="C683" r:id="rId575" xr:uid="{00000000-0004-0000-0C00-00003E020000}"/>
    <hyperlink ref="C684" r:id="rId576" xr:uid="{00000000-0004-0000-0C00-00003F020000}"/>
    <hyperlink ref="C685" r:id="rId577" xr:uid="{00000000-0004-0000-0C00-000040020000}"/>
    <hyperlink ref="C686" r:id="rId578" xr:uid="{00000000-0004-0000-0C00-000041020000}"/>
    <hyperlink ref="C687" r:id="rId579" xr:uid="{00000000-0004-0000-0C00-000042020000}"/>
    <hyperlink ref="C688" r:id="rId580" xr:uid="{00000000-0004-0000-0C00-000043020000}"/>
    <hyperlink ref="C689" r:id="rId581" xr:uid="{00000000-0004-0000-0C00-000044020000}"/>
    <hyperlink ref="C690" r:id="rId582" xr:uid="{00000000-0004-0000-0C00-000045020000}"/>
    <hyperlink ref="C691" r:id="rId583" xr:uid="{00000000-0004-0000-0C00-000046020000}"/>
    <hyperlink ref="C692" r:id="rId584" xr:uid="{00000000-0004-0000-0C00-000047020000}"/>
    <hyperlink ref="C693" r:id="rId585" xr:uid="{00000000-0004-0000-0C00-000048020000}"/>
    <hyperlink ref="C694" r:id="rId586" xr:uid="{00000000-0004-0000-0C00-000049020000}"/>
    <hyperlink ref="C695" r:id="rId587" xr:uid="{00000000-0004-0000-0C00-00004A020000}"/>
    <hyperlink ref="C696" r:id="rId588" xr:uid="{00000000-0004-0000-0C00-00004B020000}"/>
    <hyperlink ref="C697" r:id="rId589" xr:uid="{00000000-0004-0000-0C00-00004C020000}"/>
    <hyperlink ref="C698" r:id="rId590" xr:uid="{00000000-0004-0000-0C00-00004D020000}"/>
    <hyperlink ref="C699" r:id="rId591" xr:uid="{00000000-0004-0000-0C00-00004E020000}"/>
    <hyperlink ref="C700" r:id="rId592" xr:uid="{00000000-0004-0000-0C00-00004F020000}"/>
    <hyperlink ref="C701" r:id="rId593" xr:uid="{00000000-0004-0000-0C00-000050020000}"/>
    <hyperlink ref="C702" r:id="rId594" xr:uid="{00000000-0004-0000-0C00-000051020000}"/>
    <hyperlink ref="C703" r:id="rId595" xr:uid="{00000000-0004-0000-0C00-000052020000}"/>
    <hyperlink ref="C704" r:id="rId596" xr:uid="{00000000-0004-0000-0C00-000053020000}"/>
    <hyperlink ref="C705" r:id="rId597" xr:uid="{00000000-0004-0000-0C00-000054020000}"/>
    <hyperlink ref="C706" r:id="rId598" xr:uid="{00000000-0004-0000-0C00-000055020000}"/>
    <hyperlink ref="C707" r:id="rId599" xr:uid="{00000000-0004-0000-0C00-000056020000}"/>
    <hyperlink ref="A708" r:id="rId600" xr:uid="{00000000-0004-0000-0C00-000057020000}"/>
    <hyperlink ref="C708" r:id="rId601" xr:uid="{00000000-0004-0000-0C00-000058020000}"/>
    <hyperlink ref="A709" r:id="rId602" xr:uid="{00000000-0004-0000-0C00-000059020000}"/>
    <hyperlink ref="C709" r:id="rId603" xr:uid="{00000000-0004-0000-0C00-00005A020000}"/>
    <hyperlink ref="A710" r:id="rId604" xr:uid="{00000000-0004-0000-0C00-00005B020000}"/>
    <hyperlink ref="A711" r:id="rId605" xr:uid="{00000000-0004-0000-0C00-00005C020000}"/>
    <hyperlink ref="A712" r:id="rId606" xr:uid="{00000000-0004-0000-0C00-00005D020000}"/>
    <hyperlink ref="C712" r:id="rId607" xr:uid="{00000000-0004-0000-0C00-00005E020000}"/>
    <hyperlink ref="A713" r:id="rId608" xr:uid="{00000000-0004-0000-0C00-00005F020000}"/>
    <hyperlink ref="A714" r:id="rId609" xr:uid="{00000000-0004-0000-0C00-000060020000}"/>
    <hyperlink ref="A715" r:id="rId610" xr:uid="{00000000-0004-0000-0C00-000061020000}"/>
    <hyperlink ref="A716" r:id="rId611" xr:uid="{00000000-0004-0000-0C00-000062020000}"/>
    <hyperlink ref="C716" r:id="rId612" xr:uid="{00000000-0004-0000-0C00-000063020000}"/>
    <hyperlink ref="A717" r:id="rId613" xr:uid="{00000000-0004-0000-0C00-000064020000}"/>
    <hyperlink ref="A718" r:id="rId614" xr:uid="{00000000-0004-0000-0C00-000065020000}"/>
    <hyperlink ref="A719" r:id="rId615" xr:uid="{00000000-0004-0000-0C00-000066020000}"/>
    <hyperlink ref="C719" r:id="rId616" xr:uid="{00000000-0004-0000-0C00-000067020000}"/>
    <hyperlink ref="A720" r:id="rId617" xr:uid="{00000000-0004-0000-0C00-000068020000}"/>
    <hyperlink ref="C720" r:id="rId618" xr:uid="{00000000-0004-0000-0C00-000069020000}"/>
    <hyperlink ref="A721" r:id="rId619" xr:uid="{00000000-0004-0000-0C00-00006A020000}"/>
    <hyperlink ref="C721" r:id="rId620" xr:uid="{00000000-0004-0000-0C00-00006B020000}"/>
    <hyperlink ref="A722" r:id="rId621" xr:uid="{00000000-0004-0000-0C00-00006C020000}"/>
    <hyperlink ref="A723" r:id="rId622" xr:uid="{00000000-0004-0000-0C00-00006D020000}"/>
    <hyperlink ref="C723" r:id="rId623" xr:uid="{00000000-0004-0000-0C00-00006E020000}"/>
    <hyperlink ref="A724" r:id="rId624" xr:uid="{00000000-0004-0000-0C00-00006F020000}"/>
    <hyperlink ref="A725" r:id="rId625" xr:uid="{00000000-0004-0000-0C00-000070020000}"/>
    <hyperlink ref="C725" r:id="rId626" xr:uid="{00000000-0004-0000-0C00-000071020000}"/>
    <hyperlink ref="A726" r:id="rId627" xr:uid="{00000000-0004-0000-0C00-000072020000}"/>
    <hyperlink ref="A727" r:id="rId628" xr:uid="{00000000-0004-0000-0C00-000073020000}"/>
    <hyperlink ref="A728" r:id="rId629" xr:uid="{00000000-0004-0000-0C00-000074020000}"/>
    <hyperlink ref="C728" r:id="rId630" xr:uid="{00000000-0004-0000-0C00-000075020000}"/>
    <hyperlink ref="A729" r:id="rId631" xr:uid="{00000000-0004-0000-0C00-000076020000}"/>
    <hyperlink ref="A730" r:id="rId632" xr:uid="{00000000-0004-0000-0C00-000077020000}"/>
    <hyperlink ref="C730" r:id="rId633" xr:uid="{00000000-0004-0000-0C00-000078020000}"/>
    <hyperlink ref="A731" r:id="rId634" xr:uid="{00000000-0004-0000-0C00-000079020000}"/>
    <hyperlink ref="A732" r:id="rId635" xr:uid="{00000000-0004-0000-0C00-00007A020000}"/>
    <hyperlink ref="A733" r:id="rId636" xr:uid="{00000000-0004-0000-0C00-00007B020000}"/>
  </hyperlinks>
  <pageMargins left="0.7" right="0.7" top="0.75" bottom="0.75" header="0.3" footer="0.3"/>
  <pageSetup orientation="portrait" horizontalDpi="0" verticalDpi="0"/>
  <legacyDrawing r:id="rId6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D966"/>
    <outlinePr summaryBelow="0" summaryRight="0"/>
  </sheetPr>
  <dimension ref="A1:I1205"/>
  <sheetViews>
    <sheetView workbookViewId="0">
      <selection activeCell="K1" sqref="K1"/>
    </sheetView>
  </sheetViews>
  <sheetFormatPr baseColWidth="10" defaultColWidth="14.5" defaultRowHeight="15.75" customHeight="1"/>
  <cols>
    <col min="1" max="1" width="34.5" customWidth="1"/>
    <col min="7" max="7" width="15.33203125" customWidth="1"/>
    <col min="8" max="9" width="18.83203125" customWidth="1"/>
  </cols>
  <sheetData>
    <row r="1" spans="1:9" ht="13">
      <c r="A1" s="22" t="s">
        <v>8</v>
      </c>
      <c r="B1" s="2" t="s">
        <v>9</v>
      </c>
      <c r="C1" s="2" t="s">
        <v>359</v>
      </c>
      <c r="D1" s="2" t="s">
        <v>360</v>
      </c>
      <c r="E1" s="2" t="s">
        <v>114</v>
      </c>
      <c r="F1" s="2" t="s">
        <v>11</v>
      </c>
      <c r="G1" s="2" t="s">
        <v>361</v>
      </c>
      <c r="H1" s="2" t="s">
        <v>17</v>
      </c>
      <c r="I1" s="2" t="s">
        <v>362</v>
      </c>
    </row>
    <row r="2" spans="1:9" ht="14">
      <c r="A2" s="23" t="str">
        <f ca="1">IFERROR(__xludf.DUMMYFUNCTION("UNIQUE('Annotated Papers'!A3:A1205)"),"Image Collection Pop-Up: 3D Reconstruction and Clustering of Rigid and Non-Rigid Categories")</f>
        <v>Image Collection Pop-Up: 3D Reconstruction and Clustering of Rigid and Non-Rigid Categories</v>
      </c>
      <c r="B2" t="str">
        <f ca="1">IF(ISBLANK(A2), "", VLOOKUP(A2,'Annotated Papers'!1:1040,2,FALSE))</f>
        <v>CV</v>
      </c>
      <c r="C2" s="24">
        <f ca="1">IF(ISBLANK(A2), "", VLOOKUP(A2,'Annotated Papers'!1:1040,5,FALSE))</f>
        <v>0</v>
      </c>
      <c r="D2">
        <f ca="1">IF(ISBLANK(A2), "", IF(COUNTIF('Annotated Papers'!A:A,A2)&gt;1,1,0))</f>
        <v>1</v>
      </c>
      <c r="E2">
        <f ca="1">IF(ISBLANK(A2), "", IF(SUMIFS('Annotated Papers'!G:G, 'Annotated Papers'!A:A,A2)&gt;0,1,0))</f>
        <v>0</v>
      </c>
      <c r="F2">
        <f ca="1">IF(ISBLANK(A2), "", IF(SUMIFS('Annotated Papers'!H:H, 'Annotated Papers'!A:A,A2)&gt;0,1,0))</f>
        <v>1</v>
      </c>
      <c r="G2" t="e">
        <f ca="1">IF(ISBLANK(A2), "", IF(SUMIFS('Annotated Papers'!I:I, 'Annotated Papers'!A:A,A2)&gt;0,1,0))</f>
        <v>#NAME?</v>
      </c>
      <c r="H2">
        <f ca="1">IF(ISBLANK(A2), "", IF(SUMIFS('Annotated Papers'!L:L, 'Annotated Papers'!A:A,A2)&gt;0,1,0))</f>
        <v>0</v>
      </c>
      <c r="I2" s="24">
        <f ca="1">IF(ISBLANK(A2), "", VLOOKUP(A2,'Annotated Papers'!1:1040,4,FALSE))</f>
        <v>0</v>
      </c>
    </row>
    <row r="3" spans="1:9" ht="14">
      <c r="A3" s="25" t="str">
        <f ca="1">IFERROR(__xludf.DUMMYFUNCTION("""COMPUTED_VALUE"""),"Guide Me: Interacting With Deep Networks")</f>
        <v>Guide Me: Interacting With Deep Networks</v>
      </c>
      <c r="B3" t="str">
        <f ca="1">IF(ISBLANK(A3), "", VLOOKUP(A3,'Annotated Papers'!2:1041,2,FALSE))</f>
        <v>CV</v>
      </c>
      <c r="C3" s="24">
        <f ca="1">IF(ISBLANK(A3), "", VLOOKUP(A3,'Annotated Papers'!2:1041,5,FALSE))</f>
        <v>0</v>
      </c>
      <c r="D3">
        <f ca="1">IF(ISBLANK(A3), "", IF(COUNTIF('Annotated Papers'!A:A,A3)&gt;1,1,0))</f>
        <v>1</v>
      </c>
      <c r="E3">
        <f ca="1">IF(ISBLANK(A3), "", IF(SUMIFS('Annotated Papers'!G:G, 'Annotated Papers'!A:A,A3)&gt;0,1,0))</f>
        <v>0</v>
      </c>
      <c r="F3">
        <f ca="1">IF(ISBLANK(A3), "", IF(SUMIFS('Annotated Papers'!H:H, 'Annotated Papers'!A:A,A3)&gt;0,1,0))</f>
        <v>1</v>
      </c>
      <c r="G3" t="e">
        <f ca="1">IF(ISBLANK(A3), "", IF(SUMIFS('Annotated Papers'!I:I, 'Annotated Papers'!A:A,A3)&gt;0,1,0))</f>
        <v>#NAME?</v>
      </c>
      <c r="H3">
        <f ca="1">IF(ISBLANK(A3), "", IF(SUMIFS('Annotated Papers'!L:L, 'Annotated Papers'!A:A,A3)&gt;0,1,0))</f>
        <v>0</v>
      </c>
      <c r="I3" s="24">
        <f ca="1">IF(ISBLANK(A3), "", VLOOKUP(A3,'Annotated Papers'!2:1041,4,FALSE))</f>
        <v>0</v>
      </c>
    </row>
    <row r="4" spans="1:9" ht="14">
      <c r="A4" s="25" t="str">
        <f ca="1">IFERROR(__xludf.DUMMYFUNCTION("""COMPUTED_VALUE"""),"Learning Sentiment Memories for Sentiment Modification without Parallel Data")</f>
        <v>Learning Sentiment Memories for Sentiment Modification without Parallel Data</v>
      </c>
      <c r="B4" t="str">
        <f ca="1">IF(ISBLANK(A4), "", VLOOKUP(A4,'Annotated Papers'!3:1042,2,FALSE))</f>
        <v>NLP</v>
      </c>
      <c r="C4" s="24">
        <f ca="1">IF(ISBLANK(A4), "", VLOOKUP(A4,'Annotated Papers'!3:1042,5,FALSE))</f>
        <v>1</v>
      </c>
      <c r="D4">
        <f ca="1">IF(ISBLANK(A4), "", IF(COUNTIF('Annotated Papers'!A:A,A4)&gt;1,1,0))</f>
        <v>0</v>
      </c>
      <c r="E4">
        <f ca="1">IF(ISBLANK(A4), "", IF(SUMIFS('Annotated Papers'!G:G, 'Annotated Papers'!A:A,A4)&gt;0,1,0))</f>
        <v>0</v>
      </c>
      <c r="F4">
        <f ca="1">IF(ISBLANK(A4), "", IF(SUMIFS('Annotated Papers'!H:H, 'Annotated Papers'!A:A,A4)&gt;0,1,0))</f>
        <v>1</v>
      </c>
      <c r="G4" t="e">
        <f ca="1">IF(ISBLANK(A4), "", IF(SUMIFS('Annotated Papers'!I:I, 'Annotated Papers'!A:A,A4)&gt;0,1,0))</f>
        <v>#NAME?</v>
      </c>
      <c r="H4">
        <f ca="1">IF(ISBLANK(A4), "", IF(SUMIFS('Annotated Papers'!L:L, 'Annotated Papers'!A:A,A4)&gt;0,1,0))</f>
        <v>0</v>
      </c>
      <c r="I4" s="24">
        <f ca="1">IF(ISBLANK(A4), "", VLOOKUP(A4,'Annotated Papers'!3:1042,4,FALSE))</f>
        <v>0</v>
      </c>
    </row>
    <row r="5" spans="1:9" ht="14">
      <c r="A5" s="25" t="str">
        <f ca="1">IFERROR(__xludf.DUMMYFUNCTION("""COMPUTED_VALUE"""),"Simple Recurrent Units for Highly Parallelizable Recurrence")</f>
        <v>Simple Recurrent Units for Highly Parallelizable Recurrence</v>
      </c>
      <c r="B5" t="str">
        <f ca="1">IF(ISBLANK(A5), "", VLOOKUP(A5,'Annotated Papers'!4:1043,2,FALSE))</f>
        <v>NLP</v>
      </c>
      <c r="C5" s="24">
        <f ca="1">IF(ISBLANK(A5), "", VLOOKUP(A5,'Annotated Papers'!4:1043,5,FALSE))</f>
        <v>1</v>
      </c>
      <c r="D5">
        <f ca="1">IF(ISBLANK(A5), "", IF(COUNTIF('Annotated Papers'!A:A,A5)&gt;1,1,0))</f>
        <v>1</v>
      </c>
      <c r="E5">
        <f ca="1">IF(ISBLANK(A5), "", IF(SUMIFS('Annotated Papers'!G:G, 'Annotated Papers'!A:A,A5)&gt;0,1,0))</f>
        <v>0</v>
      </c>
      <c r="F5">
        <f ca="1">IF(ISBLANK(A5), "", IF(SUMIFS('Annotated Papers'!H:H, 'Annotated Papers'!A:A,A5)&gt;0,1,0))</f>
        <v>1</v>
      </c>
      <c r="G5" t="e">
        <f ca="1">IF(ISBLANK(A5), "", IF(SUMIFS('Annotated Papers'!I:I, 'Annotated Papers'!A:A,A5)&gt;0,1,0))</f>
        <v>#NAME?</v>
      </c>
      <c r="H5">
        <f ca="1">IF(ISBLANK(A5), "", IF(SUMIFS('Annotated Papers'!L:L, 'Annotated Papers'!A:A,A5)&gt;0,1,0))</f>
        <v>1</v>
      </c>
      <c r="I5" s="24">
        <f ca="1">IF(ISBLANK(A5), "", VLOOKUP(A5,'Annotated Papers'!4:1043,4,FALSE))</f>
        <v>0</v>
      </c>
    </row>
    <row r="6" spans="1:9" ht="14">
      <c r="A6" s="25" t="str">
        <f ca="1">IFERROR(__xludf.DUMMYFUNCTION("""COMPUTED_VALUE"""),"Dating Documents using Graph Convolution Networks")</f>
        <v>Dating Documents using Graph Convolution Networks</v>
      </c>
      <c r="B6" t="str">
        <f ca="1">IF(ISBLANK(A6), "", VLOOKUP(A6,'Annotated Papers'!5:1044,2,FALSE))</f>
        <v>NLP</v>
      </c>
      <c r="C6" s="24">
        <f ca="1">IF(ISBLANK(A6), "", VLOOKUP(A6,'Annotated Papers'!5:1044,5,FALSE))</f>
        <v>1</v>
      </c>
      <c r="D6">
        <f ca="1">IF(ISBLANK(A6), "", IF(COUNTIF('Annotated Papers'!A:A,A6)&gt;1,1,0))</f>
        <v>1</v>
      </c>
      <c r="E6">
        <f ca="1">IF(ISBLANK(A6), "", IF(SUMIFS('Annotated Papers'!G:G, 'Annotated Papers'!A:A,A6)&gt;0,1,0))</f>
        <v>0</v>
      </c>
      <c r="F6">
        <f ca="1">IF(ISBLANK(A6), "", IF(SUMIFS('Annotated Papers'!H:H, 'Annotated Papers'!A:A,A6)&gt;0,1,0))</f>
        <v>1</v>
      </c>
      <c r="G6" t="e">
        <f ca="1">IF(ISBLANK(A6), "", IF(SUMIFS('Annotated Papers'!I:I, 'Annotated Papers'!A:A,A6)&gt;0,1,0))</f>
        <v>#NAME?</v>
      </c>
      <c r="H6">
        <f ca="1">IF(ISBLANK(A6), "", IF(SUMIFS('Annotated Papers'!L:L, 'Annotated Papers'!A:A,A6)&gt;0,1,0))</f>
        <v>0</v>
      </c>
      <c r="I6" s="24">
        <f ca="1">IF(ISBLANK(A6), "", VLOOKUP(A6,'Annotated Papers'!5:1044,4,FALSE))</f>
        <v>0</v>
      </c>
    </row>
    <row r="7" spans="1:9" ht="14">
      <c r="A7" s="25" t="str">
        <f ca="1">IFERROR(__xludf.DUMMYFUNCTION("""COMPUTED_VALUE"""),"How Much Attention Do You Need? A Granular Analysis of Neural Machine Translation Architectures")</f>
        <v>How Much Attention Do You Need? A Granular Analysis of Neural Machine Translation Architectures</v>
      </c>
      <c r="B7" t="str">
        <f ca="1">IF(ISBLANK(A7), "", VLOOKUP(A7,'Annotated Papers'!6:1045,2,FALSE))</f>
        <v>NLP</v>
      </c>
      <c r="C7" s="24">
        <f ca="1">IF(ISBLANK(A7), "", VLOOKUP(A7,'Annotated Papers'!6:1045,5,FALSE))</f>
        <v>1</v>
      </c>
      <c r="D7">
        <f ca="1">IF(ISBLANK(A7), "", IF(COUNTIF('Annotated Papers'!A:A,A7)&gt;1,1,0))</f>
        <v>1</v>
      </c>
      <c r="E7">
        <f ca="1">IF(ISBLANK(A7), "", IF(SUMIFS('Annotated Papers'!G:G, 'Annotated Papers'!A:A,A7)&gt;0,1,0))</f>
        <v>0</v>
      </c>
      <c r="F7">
        <f ca="1">IF(ISBLANK(A7), "", IF(SUMIFS('Annotated Papers'!H:H, 'Annotated Papers'!A:A,A7)&gt;0,1,0))</f>
        <v>1</v>
      </c>
      <c r="G7" t="e">
        <f ca="1">IF(ISBLANK(A7), "", IF(SUMIFS('Annotated Papers'!I:I, 'Annotated Papers'!A:A,A7)&gt;0,1,0))</f>
        <v>#NAME?</v>
      </c>
      <c r="H7">
        <f ca="1">IF(ISBLANK(A7), "", IF(SUMIFS('Annotated Papers'!L:L, 'Annotated Papers'!A:A,A7)&gt;0,1,0))</f>
        <v>1</v>
      </c>
      <c r="I7" s="24">
        <f ca="1">IF(ISBLANK(A7), "", VLOOKUP(A7,'Annotated Papers'!6:1045,4,FALSE))</f>
        <v>0</v>
      </c>
    </row>
    <row r="8" spans="1:9" ht="14">
      <c r="A8" s="25" t="str">
        <f ca="1">IFERROR(__xludf.DUMMYFUNCTION("""COMPUTED_VALUE"""),"Label-Aware Double Transfer Learning for Cross-Specialty Medical Named Entity Recognition")</f>
        <v>Label-Aware Double Transfer Learning for Cross-Specialty Medical Named Entity Recognition</v>
      </c>
      <c r="B8" t="str">
        <f ca="1">IF(ISBLANK(A8), "", VLOOKUP(A8,'Annotated Papers'!7:1046,2,FALSE))</f>
        <v>NLP, ML4H</v>
      </c>
      <c r="C8" s="24">
        <f ca="1">IF(ISBLANK(A8), "", VLOOKUP(A8,'Annotated Papers'!7:1046,5,FALSE))</f>
        <v>0</v>
      </c>
      <c r="D8">
        <f ca="1">IF(ISBLANK(A8), "", IF(COUNTIF('Annotated Papers'!A:A,A8)&gt;1,1,0))</f>
        <v>1</v>
      </c>
      <c r="E8">
        <f ca="1">IF(ISBLANK(A8), "", IF(SUMIFS('Annotated Papers'!G:G, 'Annotated Papers'!A:A,A8)&gt;0,1,0))</f>
        <v>1</v>
      </c>
      <c r="F8">
        <f ca="1">IF(ISBLANK(A8), "", IF(SUMIFS('Annotated Papers'!H:H, 'Annotated Papers'!A:A,A8)&gt;0,1,0))</f>
        <v>1</v>
      </c>
      <c r="G8" t="e">
        <f ca="1">IF(ISBLANK(A8), "", IF(SUMIFS('Annotated Papers'!I:I, 'Annotated Papers'!A:A,A8)&gt;0,1,0))</f>
        <v>#NAME?</v>
      </c>
      <c r="H8">
        <f ca="1">IF(ISBLANK(A8), "", IF(SUMIFS('Annotated Papers'!L:L, 'Annotated Papers'!A:A,A8)&gt;0,1,0))</f>
        <v>1</v>
      </c>
      <c r="I8" s="24">
        <f ca="1">IF(ISBLANK(A8), "", VLOOKUP(A8,'Annotated Papers'!7:1046,4,FALSE))</f>
        <v>0</v>
      </c>
    </row>
    <row r="9" spans="1:9" ht="14">
      <c r="A9" s="25" t="str">
        <f ca="1">IFERROR(__xludf.DUMMYFUNCTION("""COMPUTED_VALUE"""),"Neural Fine-Grained Entity Type Classification with Hierarchy-Aware Loss")</f>
        <v>Neural Fine-Grained Entity Type Classification with Hierarchy-Aware Loss</v>
      </c>
      <c r="B9" t="str">
        <f ca="1">IF(ISBLANK(A9), "", VLOOKUP(A9,'Annotated Papers'!8:1047,2,FALSE))</f>
        <v>NLP</v>
      </c>
      <c r="C9" s="24">
        <f ca="1">IF(ISBLANK(A9), "", VLOOKUP(A9,'Annotated Papers'!8:1047,5,FALSE))</f>
        <v>1</v>
      </c>
      <c r="D9">
        <f ca="1">IF(ISBLANK(A9), "", IF(COUNTIF('Annotated Papers'!A:A,A9)&gt;1,1,0))</f>
        <v>1</v>
      </c>
      <c r="E9">
        <f ca="1">IF(ISBLANK(A9), "", IF(SUMIFS('Annotated Papers'!G:G, 'Annotated Papers'!A:A,A9)&gt;0,1,0))</f>
        <v>0</v>
      </c>
      <c r="F9">
        <f ca="1">IF(ISBLANK(A9), "", IF(SUMIFS('Annotated Papers'!H:H, 'Annotated Papers'!A:A,A9)&gt;0,1,0))</f>
        <v>1</v>
      </c>
      <c r="G9" t="e">
        <f ca="1">IF(ISBLANK(A9), "", IF(SUMIFS('Annotated Papers'!I:I, 'Annotated Papers'!A:A,A9)&gt;0,1,0))</f>
        <v>#NAME?</v>
      </c>
      <c r="H9">
        <f ca="1">IF(ISBLANK(A9), "", IF(SUMIFS('Annotated Papers'!L:L, 'Annotated Papers'!A:A,A9)&gt;0,1,0))</f>
        <v>1</v>
      </c>
      <c r="I9" s="24">
        <f ca="1">IF(ISBLANK(A9), "", VLOOKUP(A9,'Annotated Papers'!8:1047,4,FALSE))</f>
        <v>0</v>
      </c>
    </row>
    <row r="10" spans="1:9" ht="14">
      <c r="A10" s="25" t="str">
        <f ca="1">IFERROR(__xludf.DUMMYFUNCTION("""COMPUTED_VALUE"""),"Beyond Log-concavity: Provable Guarantees for Sampling Multi-modal Distributions using Simulated Tempering Langevin Monte Carlo")</f>
        <v>Beyond Log-concavity: Provable Guarantees for Sampling Multi-modal Distributions using Simulated Tempering Langevin Monte Carlo</v>
      </c>
      <c r="B10" t="str">
        <f ca="1">IF(ISBLANK(A10), "", VLOOKUP(A10,'Annotated Papers'!9:1048,2,FALSE))</f>
        <v>General</v>
      </c>
      <c r="C10" s="24">
        <f ca="1">IF(ISBLANK(A10), "", VLOOKUP(A10,'Annotated Papers'!9:1048,5,FALSE))</f>
        <v>0</v>
      </c>
      <c r="D10">
        <f ca="1">IF(ISBLANK(A10), "", IF(COUNTIF('Annotated Papers'!A:A,A10)&gt;1,1,0))</f>
        <v>0</v>
      </c>
      <c r="E10">
        <f ca="1">IF(ISBLANK(A10), "", IF(SUMIFS('Annotated Papers'!G:G, 'Annotated Papers'!A:A,A10)&gt;0,1,0))</f>
        <v>0</v>
      </c>
      <c r="F10">
        <f ca="1">IF(ISBLANK(A10), "", IF(SUMIFS('Annotated Papers'!H:H, 'Annotated Papers'!A:A,A10)&gt;0,1,0))</f>
        <v>0</v>
      </c>
      <c r="G10">
        <f ca="1">IF(ISBLANK(A10), "", IF(SUMIFS('Annotated Papers'!I:I, 'Annotated Papers'!A:A,A10)&gt;0,1,0))</f>
        <v>0</v>
      </c>
      <c r="H10">
        <f ca="1">IF(ISBLANK(A10), "", IF(SUMIFS('Annotated Papers'!L:L, 'Annotated Papers'!A:A,A10)&gt;0,1,0))</f>
        <v>0</v>
      </c>
      <c r="I10" s="24">
        <f ca="1">IF(ISBLANK(A10), "", VLOOKUP(A10,'Annotated Papers'!9:1048,4,FALSE))</f>
        <v>1</v>
      </c>
    </row>
    <row r="11" spans="1:9" ht="14">
      <c r="A11" s="25" t="str">
        <f ca="1">IFERROR(__xludf.DUMMYFUNCTION("""COMPUTED_VALUE"""),"Neural Ordinary Differential Equations")</f>
        <v>Neural Ordinary Differential Equations</v>
      </c>
      <c r="B11" t="str">
        <f ca="1">IF(ISBLANK(A11), "", VLOOKUP(A11,'Annotated Papers'!10:1049,2,FALSE))</f>
        <v>General</v>
      </c>
      <c r="C11" s="24">
        <f ca="1">IF(ISBLANK(A11), "", VLOOKUP(A11,'Annotated Papers'!10:1049,5,FALSE))</f>
        <v>1</v>
      </c>
      <c r="D11">
        <f ca="1">IF(ISBLANK(A11), "", IF(COUNTIF('Annotated Papers'!A:A,A11)&gt;1,1,0))</f>
        <v>0</v>
      </c>
      <c r="E11">
        <f ca="1">IF(ISBLANK(A11), "", IF(SUMIFS('Annotated Papers'!G:G, 'Annotated Papers'!A:A,A11)&gt;0,1,0))</f>
        <v>0</v>
      </c>
      <c r="F11">
        <f ca="1">IF(ISBLANK(A11), "", IF(SUMIFS('Annotated Papers'!H:H, 'Annotated Papers'!A:A,A11)&gt;0,1,0))</f>
        <v>0</v>
      </c>
      <c r="G11">
        <f ca="1">IF(ISBLANK(A11), "", IF(SUMIFS('Annotated Papers'!I:I, 'Annotated Papers'!A:A,A11)&gt;0,1,0))</f>
        <v>0</v>
      </c>
      <c r="H11">
        <f ca="1">IF(ISBLANK(A11), "", IF(SUMIFS('Annotated Papers'!L:L, 'Annotated Papers'!A:A,A11)&gt;0,1,0))</f>
        <v>0</v>
      </c>
      <c r="I11" s="24">
        <f ca="1">IF(ISBLANK(A11), "", VLOOKUP(A11,'Annotated Papers'!10:1049,4,FALSE))</f>
        <v>0</v>
      </c>
    </row>
    <row r="12" spans="1:9" ht="14">
      <c r="A12" s="25" t="str">
        <f ca="1">IFERROR(__xludf.DUMMYFUNCTION("""COMPUTED_VALUE"""),"Gradient Descent Learns One-hidden-layer CNN: Don’t be Afraid of Spurious Local Minima")</f>
        <v>Gradient Descent Learns One-hidden-layer CNN: Don’t be Afraid of Spurious Local Minima</v>
      </c>
      <c r="B12" t="str">
        <f ca="1">IF(ISBLANK(A12), "", VLOOKUP(A12,'Annotated Papers'!11:1050,2,FALSE))</f>
        <v>General</v>
      </c>
      <c r="C12" s="24">
        <f ca="1">IF(ISBLANK(A12), "", VLOOKUP(A12,'Annotated Papers'!11:1050,5,FALSE))</f>
        <v>0</v>
      </c>
      <c r="D12">
        <f ca="1">IF(ISBLANK(A12), "", IF(COUNTIF('Annotated Papers'!A:A,A12)&gt;1,1,0))</f>
        <v>0</v>
      </c>
      <c r="E12">
        <f ca="1">IF(ISBLANK(A12), "", IF(SUMIFS('Annotated Papers'!G:G, 'Annotated Papers'!A:A,A12)&gt;0,1,0))</f>
        <v>0</v>
      </c>
      <c r="F12">
        <f ca="1">IF(ISBLANK(A12), "", IF(SUMIFS('Annotated Papers'!H:H, 'Annotated Papers'!A:A,A12)&gt;0,1,0))</f>
        <v>0</v>
      </c>
      <c r="G12">
        <f ca="1">IF(ISBLANK(A12), "", IF(SUMIFS('Annotated Papers'!I:I, 'Annotated Papers'!A:A,A12)&gt;0,1,0))</f>
        <v>0</v>
      </c>
      <c r="H12">
        <f ca="1">IF(ISBLANK(A12), "", IF(SUMIFS('Annotated Papers'!L:L, 'Annotated Papers'!A:A,A12)&gt;0,1,0))</f>
        <v>0</v>
      </c>
      <c r="I12" s="24">
        <f ca="1">IF(ISBLANK(A12), "", VLOOKUP(A12,'Annotated Papers'!11:1050,4,FALSE))</f>
        <v>1</v>
      </c>
    </row>
    <row r="13" spans="1:9" ht="14">
      <c r="A13" s="25" t="str">
        <f ca="1">IFERROR(__xludf.DUMMYFUNCTION("""COMPUTED_VALUE"""),"Thompson Sampling for Combinatorial Semi-Bandits")</f>
        <v>Thompson Sampling for Combinatorial Semi-Bandits</v>
      </c>
      <c r="B13" t="str">
        <f ca="1">IF(ISBLANK(A13), "", VLOOKUP(A13,'Annotated Papers'!12:1051,2,FALSE))</f>
        <v>General</v>
      </c>
      <c r="C13" s="24">
        <f ca="1">IF(ISBLANK(A13), "", VLOOKUP(A13,'Annotated Papers'!12:1051,5,FALSE))</f>
        <v>0</v>
      </c>
      <c r="D13">
        <f ca="1">IF(ISBLANK(A13), "", IF(COUNTIF('Annotated Papers'!A:A,A13)&gt;1,1,0))</f>
        <v>0</v>
      </c>
      <c r="E13">
        <f ca="1">IF(ISBLANK(A13), "", IF(SUMIFS('Annotated Papers'!G:G, 'Annotated Papers'!A:A,A13)&gt;0,1,0))</f>
        <v>0</v>
      </c>
      <c r="F13">
        <f ca="1">IF(ISBLANK(A13), "", IF(SUMIFS('Annotated Papers'!H:H, 'Annotated Papers'!A:A,A13)&gt;0,1,0))</f>
        <v>0</v>
      </c>
      <c r="G13">
        <f ca="1">IF(ISBLANK(A13), "", IF(SUMIFS('Annotated Papers'!I:I, 'Annotated Papers'!A:A,A13)&gt;0,1,0))</f>
        <v>0</v>
      </c>
      <c r="H13">
        <f ca="1">IF(ISBLANK(A13), "", IF(SUMIFS('Annotated Papers'!L:L, 'Annotated Papers'!A:A,A13)&gt;0,1,0))</f>
        <v>0</v>
      </c>
      <c r="I13" s="24">
        <f ca="1">IF(ISBLANK(A13), "", VLOOKUP(A13,'Annotated Papers'!12:1051,4,FALSE))</f>
        <v>1</v>
      </c>
    </row>
    <row r="14" spans="1:9" ht="14">
      <c r="A14" s="25" t="str">
        <f ca="1">IFERROR(__xludf.DUMMYFUNCTION("""COMPUTED_VALUE"""),"Hetero-ConvLSTM: A Deep Learning Approach to Traffic Accident Prediction on Heterogeneous Spatio-Tem")</f>
        <v>Hetero-ConvLSTM: A Deep Learning Approach to Traffic Accident Prediction on Heterogeneous Spatio-Tem</v>
      </c>
      <c r="B14" t="str">
        <f ca="1">IF(ISBLANK(A14), "", VLOOKUP(A14,'Annotated Papers'!13:1052,2,FALSE))</f>
        <v>General</v>
      </c>
      <c r="C14" s="24">
        <f ca="1">IF(ISBLANK(A14), "", VLOOKUP(A14,'Annotated Papers'!13:1052,5,FALSE))</f>
        <v>0</v>
      </c>
      <c r="D14">
        <f ca="1">IF(ISBLANK(A14), "", IF(COUNTIF('Annotated Papers'!A:A,A14)&gt;1,1,0))</f>
        <v>1</v>
      </c>
      <c r="E14">
        <f ca="1">IF(ISBLANK(A14), "", IF(SUMIFS('Annotated Papers'!G:G, 'Annotated Papers'!A:A,A14)&gt;0,1,0))</f>
        <v>0</v>
      </c>
      <c r="F14">
        <f ca="1">IF(ISBLANK(A14), "", IF(SUMIFS('Annotated Papers'!H:H, 'Annotated Papers'!A:A,A14)&gt;0,1,0))</f>
        <v>1</v>
      </c>
      <c r="G14" t="e">
        <f ca="1">IF(ISBLANK(A14), "", IF(SUMIFS('Annotated Papers'!I:I, 'Annotated Papers'!A:A,A14)&gt;0,1,0))</f>
        <v>#NAME?</v>
      </c>
      <c r="H14">
        <f ca="1">IF(ISBLANK(A14), "", IF(SUMIFS('Annotated Papers'!L:L, 'Annotated Papers'!A:A,A14)&gt;0,1,0))</f>
        <v>0</v>
      </c>
      <c r="I14" s="24">
        <f ca="1">IF(ISBLANK(A14), "", VLOOKUP(A14,'Annotated Papers'!13:1052,4,FALSE))</f>
        <v>0</v>
      </c>
    </row>
    <row r="15" spans="1:9" ht="14">
      <c r="A15" s="25" t="str">
        <f ca="1">IFERROR(__xludf.DUMMYFUNCTION("""COMPUTED_VALUE"""),"Deep Recursive Network Embedding with Regular Equivalence")</f>
        <v>Deep Recursive Network Embedding with Regular Equivalence</v>
      </c>
      <c r="B15" t="str">
        <f ca="1">IF(ISBLANK(A15), "", VLOOKUP(A15,'Annotated Papers'!14:1053,2,FALSE))</f>
        <v>General</v>
      </c>
      <c r="C15" s="24">
        <f ca="1">IF(ISBLANK(A15), "", VLOOKUP(A15,'Annotated Papers'!14:1053,5,FALSE))</f>
        <v>0</v>
      </c>
      <c r="D15">
        <f ca="1">IF(ISBLANK(A15), "", IF(COUNTIF('Annotated Papers'!A:A,A15)&gt;1,1,0))</f>
        <v>1</v>
      </c>
      <c r="E15">
        <f ca="1">IF(ISBLANK(A15), "", IF(SUMIFS('Annotated Papers'!G:G, 'Annotated Papers'!A:A,A15)&gt;0,1,0))</f>
        <v>0</v>
      </c>
      <c r="F15">
        <f ca="1">IF(ISBLANK(A15), "", IF(SUMIFS('Annotated Papers'!H:H, 'Annotated Papers'!A:A,A15)&gt;0,1,0))</f>
        <v>1</v>
      </c>
      <c r="G15" t="e">
        <f ca="1">IF(ISBLANK(A15), "", IF(SUMIFS('Annotated Papers'!I:I, 'Annotated Papers'!A:A,A15)&gt;0,1,0))</f>
        <v>#NAME?</v>
      </c>
      <c r="H15">
        <f ca="1">IF(ISBLANK(A15), "", IF(SUMIFS('Annotated Papers'!L:L, 'Annotated Papers'!A:A,A15)&gt;0,1,0))</f>
        <v>0</v>
      </c>
      <c r="I15" s="24">
        <f ca="1">IF(ISBLANK(A15), "", VLOOKUP(A15,'Annotated Papers'!14:1053,4,FALSE))</f>
        <v>0</v>
      </c>
    </row>
    <row r="16" spans="1:9" ht="14">
      <c r="A16" s="25" t="str">
        <f ca="1">IFERROR(__xludf.DUMMYFUNCTION("""COMPUTED_VALUE"""),"CurriculumNet: Weakly Supervised Learning from Large-Scale Web Images")</f>
        <v>CurriculumNet: Weakly Supervised Learning from Large-Scale Web Images</v>
      </c>
      <c r="B16" t="str">
        <f ca="1">IF(ISBLANK(A16), "", VLOOKUP(A16,'Annotated Papers'!15:1054,2,FALSE))</f>
        <v>CV</v>
      </c>
      <c r="C16" s="24">
        <f ca="1">IF(ISBLANK(A16), "", VLOOKUP(A16,'Annotated Papers'!15:1054,5,FALSE))</f>
        <v>1</v>
      </c>
      <c r="D16">
        <f ca="1">IF(ISBLANK(A16), "", IF(COUNTIF('Annotated Papers'!A:A,A16)&gt;1,1,0))</f>
        <v>1</v>
      </c>
      <c r="E16">
        <f ca="1">IF(ISBLANK(A16), "", IF(SUMIFS('Annotated Papers'!G:G, 'Annotated Papers'!A:A,A16)&gt;0,1,0))</f>
        <v>0</v>
      </c>
      <c r="F16">
        <f ca="1">IF(ISBLANK(A16), "", IF(SUMIFS('Annotated Papers'!H:H, 'Annotated Papers'!A:A,A16)&gt;0,1,0))</f>
        <v>1</v>
      </c>
      <c r="G16" t="e">
        <f ca="1">IF(ISBLANK(A16), "", IF(SUMIFS('Annotated Papers'!I:I, 'Annotated Papers'!A:A,A16)&gt;0,1,0))</f>
        <v>#NAME?</v>
      </c>
      <c r="H16">
        <f ca="1">IF(ISBLANK(A16), "", IF(SUMIFS('Annotated Papers'!L:L, 'Annotated Papers'!A:A,A16)&gt;0,1,0))</f>
        <v>0</v>
      </c>
      <c r="I16" s="24">
        <f ca="1">IF(ISBLANK(A16), "", VLOOKUP(A16,'Annotated Papers'!15:1054,4,FALSE))</f>
        <v>0</v>
      </c>
    </row>
    <row r="17" spans="1:9" ht="14">
      <c r="A17" s="25" t="str">
        <f ca="1">IFERROR(__xludf.DUMMYFUNCTION("""COMPUTED_VALUE"""),"A Unified Framework for Multi-View Multi-Class Object Pose Estimation")</f>
        <v>A Unified Framework for Multi-View Multi-Class Object Pose Estimation</v>
      </c>
      <c r="B17" t="str">
        <f ca="1">IF(ISBLANK(A17), "", VLOOKUP(A17,'Annotated Papers'!16:1055,2,FALSE))</f>
        <v>CV</v>
      </c>
      <c r="C17" s="24">
        <f ca="1">IF(ISBLANK(A17), "", VLOOKUP(A17,'Annotated Papers'!16:1055,5,FALSE))</f>
        <v>0</v>
      </c>
      <c r="D17">
        <f ca="1">IF(ISBLANK(A17), "", IF(COUNTIF('Annotated Papers'!A:A,A17)&gt;1,1,0))</f>
        <v>1</v>
      </c>
      <c r="E17">
        <f ca="1">IF(ISBLANK(A17), "", IF(SUMIFS('Annotated Papers'!G:G, 'Annotated Papers'!A:A,A17)&gt;0,1,0))</f>
        <v>0</v>
      </c>
      <c r="F17">
        <f ca="1">IF(ISBLANK(A17), "", IF(SUMIFS('Annotated Papers'!H:H, 'Annotated Papers'!A:A,A17)&gt;0,1,0))</f>
        <v>1</v>
      </c>
      <c r="G17" t="e">
        <f ca="1">IF(ISBLANK(A17), "", IF(SUMIFS('Annotated Papers'!I:I, 'Annotated Papers'!A:A,A17)&gt;0,1,0))</f>
        <v>#NAME?</v>
      </c>
      <c r="H17">
        <f ca="1">IF(ISBLANK(A17), "", IF(SUMIFS('Annotated Papers'!L:L, 'Annotated Papers'!A:A,A17)&gt;0,1,0))</f>
        <v>0</v>
      </c>
      <c r="I17" s="24">
        <f ca="1">IF(ISBLANK(A17), "", VLOOKUP(A17,'Annotated Papers'!16:1055,4,FALSE))</f>
        <v>0</v>
      </c>
    </row>
    <row r="18" spans="1:9" ht="14">
      <c r="A18" s="25" t="str">
        <f ca="1">IFERROR(__xludf.DUMMYFUNCTION("""COMPUTED_VALUE"""),"Learning Deep Neural Networks for Vehicle Re-ID With Visual-Spatio-Temporal Path Proposals")</f>
        <v>Learning Deep Neural Networks for Vehicle Re-ID With Visual-Spatio-Temporal Path Proposals</v>
      </c>
      <c r="B18" t="str">
        <f ca="1">IF(ISBLANK(A18), "", VLOOKUP(A18,'Annotated Papers'!17:1056,2,FALSE))</f>
        <v>CV</v>
      </c>
      <c r="C18" s="24">
        <f ca="1">IF(ISBLANK(A18), "", VLOOKUP(A18,'Annotated Papers'!17:1056,5,FALSE))</f>
        <v>0</v>
      </c>
      <c r="D18">
        <f ca="1">IF(ISBLANK(A18), "", IF(COUNTIF('Annotated Papers'!A:A,A18)&gt;1,1,0))</f>
        <v>0</v>
      </c>
      <c r="E18">
        <f ca="1">IF(ISBLANK(A18), "", IF(SUMIFS('Annotated Papers'!G:G, 'Annotated Papers'!A:A,A18)&gt;0,1,0))</f>
        <v>0</v>
      </c>
      <c r="F18">
        <f ca="1">IF(ISBLANK(A18), "", IF(SUMIFS('Annotated Papers'!H:H, 'Annotated Papers'!A:A,A18)&gt;0,1,0))</f>
        <v>1</v>
      </c>
      <c r="G18" t="e">
        <f ca="1">IF(ISBLANK(A18), "", IF(SUMIFS('Annotated Papers'!I:I, 'Annotated Papers'!A:A,A18)&gt;0,1,0))</f>
        <v>#NAME?</v>
      </c>
      <c r="H18">
        <f ca="1">IF(ISBLANK(A18), "", IF(SUMIFS('Annotated Papers'!L:L, 'Annotated Papers'!A:A,A18)&gt;0,1,0))</f>
        <v>0</v>
      </c>
      <c r="I18" s="24">
        <f ca="1">IF(ISBLANK(A18), "", VLOOKUP(A18,'Annotated Papers'!17:1056,4,FALSE))</f>
        <v>0</v>
      </c>
    </row>
    <row r="19" spans="1:9" ht="14">
      <c r="A19" s="25" t="str">
        <f ca="1">IFERROR(__xludf.DUMMYFUNCTION("""COMPUTED_VALUE"""),"Weakly Supervised Summarization of Web Videos")</f>
        <v>Weakly Supervised Summarization of Web Videos</v>
      </c>
      <c r="B19" t="str">
        <f ca="1">IF(ISBLANK(A19), "", VLOOKUP(A19,'Annotated Papers'!18:1057,2,FALSE))</f>
        <v>CV</v>
      </c>
      <c r="C19" s="24">
        <f ca="1">IF(ISBLANK(A19), "", VLOOKUP(A19,'Annotated Papers'!18:1057,5,FALSE))</f>
        <v>0</v>
      </c>
      <c r="D19">
        <f ca="1">IF(ISBLANK(A19), "", IF(COUNTIF('Annotated Papers'!A:A,A19)&gt;1,1,0))</f>
        <v>1</v>
      </c>
      <c r="E19">
        <f ca="1">IF(ISBLANK(A19), "", IF(SUMIFS('Annotated Papers'!G:G, 'Annotated Papers'!A:A,A19)&gt;0,1,0))</f>
        <v>0</v>
      </c>
      <c r="F19">
        <f ca="1">IF(ISBLANK(A19), "", IF(SUMIFS('Annotated Papers'!H:H, 'Annotated Papers'!A:A,A19)&gt;0,1,0))</f>
        <v>1</v>
      </c>
      <c r="G19" t="e">
        <f ca="1">IF(ISBLANK(A19), "", IF(SUMIFS('Annotated Papers'!I:I, 'Annotated Papers'!A:A,A19)&gt;0,1,0))</f>
        <v>#NAME?</v>
      </c>
      <c r="H19">
        <f ca="1">IF(ISBLANK(A19), "", IF(SUMIFS('Annotated Papers'!L:L, 'Annotated Papers'!A:A,A19)&gt;0,1,0))</f>
        <v>0</v>
      </c>
      <c r="I19" s="24">
        <f ca="1">IF(ISBLANK(A19), "", VLOOKUP(A19,'Annotated Papers'!18:1057,4,FALSE))</f>
        <v>0</v>
      </c>
    </row>
    <row r="20" spans="1:9" ht="14">
      <c r="A20" s="26" t="str">
        <f ca="1">IFERROR(__xludf.DUMMYFUNCTION("""COMPUTED_VALUE"""),"Prediction of Cardiac Arrest from Physiological Signals in the Pediatric ICU")</f>
        <v>Prediction of Cardiac Arrest from Physiological Signals in the Pediatric ICU</v>
      </c>
      <c r="B20" t="str">
        <f ca="1">IF(ISBLANK(A20), "", VLOOKUP(A20,'Annotated Papers'!19:1058,2,FALSE))</f>
        <v>ML4H</v>
      </c>
      <c r="C20" s="24">
        <f ca="1">IF(ISBLANK(A20), "", VLOOKUP(A20,'Annotated Papers'!19:1058,5,FALSE))</f>
        <v>0</v>
      </c>
      <c r="D20">
        <f ca="1">IF(ISBLANK(A20), "", IF(COUNTIF('Annotated Papers'!A:A,A20)&gt;1,1,0))</f>
        <v>0</v>
      </c>
      <c r="E20">
        <f ca="1">IF(ISBLANK(A20), "", IF(SUMIFS('Annotated Papers'!G:G, 'Annotated Papers'!A:A,A20)&gt;0,1,0))</f>
        <v>1</v>
      </c>
      <c r="F20">
        <f ca="1">IF(ISBLANK(A20), "", IF(SUMIFS('Annotated Papers'!H:H, 'Annotated Papers'!A:A,A20)&gt;0,1,0))</f>
        <v>0</v>
      </c>
      <c r="G20" t="e">
        <f ca="1">IF(ISBLANK(A20), "", IF(SUMIFS('Annotated Papers'!I:I, 'Annotated Papers'!A:A,A20)&gt;0,1,0))</f>
        <v>#NAME?</v>
      </c>
      <c r="H20">
        <f ca="1">IF(ISBLANK(A20), "", IF(SUMIFS('Annotated Papers'!L:L, 'Annotated Papers'!A:A,A20)&gt;0,1,0))</f>
        <v>0</v>
      </c>
      <c r="I20" s="24">
        <f ca="1">IF(ISBLANK(A20), "", VLOOKUP(A20,'Annotated Papers'!19:1058,4,FALSE))</f>
        <v>0</v>
      </c>
    </row>
    <row r="21" spans="1:9" ht="14">
      <c r="A21" s="26" t="str">
        <f ca="1">IFERROR(__xludf.DUMMYFUNCTION("""COMPUTED_VALUE"""),"Boosted Trees for Risk Prognosis")</f>
        <v>Boosted Trees for Risk Prognosis</v>
      </c>
      <c r="B21" t="str">
        <f ca="1">IF(ISBLANK(A21), "", VLOOKUP(A21,'Annotated Papers'!20:1059,2,FALSE))</f>
        <v>ML4H</v>
      </c>
      <c r="C21" s="24">
        <f ca="1">IF(ISBLANK(A21), "", VLOOKUP(A21,'Annotated Papers'!20:1059,5,FALSE))</f>
        <v>0</v>
      </c>
      <c r="D21">
        <f ca="1">IF(ISBLANK(A21), "", IF(COUNTIF('Annotated Papers'!A:A,A21)&gt;1,1,0))</f>
        <v>1</v>
      </c>
      <c r="E21">
        <f ca="1">IF(ISBLANK(A21), "", IF(SUMIFS('Annotated Papers'!G:G, 'Annotated Papers'!A:A,A21)&gt;0,1,0))</f>
        <v>1</v>
      </c>
      <c r="F21">
        <f ca="1">IF(ISBLANK(A21), "", IF(SUMIFS('Annotated Papers'!H:H, 'Annotated Papers'!A:A,A21)&gt;0,1,0))</f>
        <v>1</v>
      </c>
      <c r="G21" t="e">
        <f ca="1">IF(ISBLANK(A21), "", IF(SUMIFS('Annotated Papers'!I:I, 'Annotated Papers'!A:A,A21)&gt;0,1,0))</f>
        <v>#NAME?</v>
      </c>
      <c r="H21">
        <f ca="1">IF(ISBLANK(A21), "", IF(SUMIFS('Annotated Papers'!L:L, 'Annotated Papers'!A:A,A21)&gt;0,1,0))</f>
        <v>1</v>
      </c>
      <c r="I21" s="24">
        <f ca="1">IF(ISBLANK(A21), "", VLOOKUP(A21,'Annotated Papers'!20:1059,4,FALSE))</f>
        <v>0</v>
      </c>
    </row>
    <row r="22" spans="1:9" ht="14">
      <c r="A22" s="26" t="str">
        <f ca="1">IFERROR(__xludf.DUMMYFUNCTION("""COMPUTED_VALUE"""),"Racial Disparities and Mistrust in End-of-Life Care")</f>
        <v>Racial Disparities and Mistrust in End-of-Life Care</v>
      </c>
      <c r="B22" t="str">
        <f ca="1">IF(ISBLANK(A22), "", VLOOKUP(A22,'Annotated Papers'!21:1060,2,FALSE))</f>
        <v>ML4H</v>
      </c>
      <c r="C22" s="24">
        <f ca="1">IF(ISBLANK(A22), "", VLOOKUP(A22,'Annotated Papers'!21:1060,5,FALSE))</f>
        <v>1</v>
      </c>
      <c r="D22">
        <f ca="1">IF(ISBLANK(A22), "", IF(COUNTIF('Annotated Papers'!A:A,A22)&gt;1,1,0))</f>
        <v>0</v>
      </c>
      <c r="E22">
        <f ca="1">IF(ISBLANK(A22), "", IF(SUMIFS('Annotated Papers'!G:G, 'Annotated Papers'!A:A,A22)&gt;0,1,0))</f>
        <v>1</v>
      </c>
      <c r="F22">
        <f ca="1">IF(ISBLANK(A22), "", IF(SUMIFS('Annotated Papers'!H:H, 'Annotated Papers'!A:A,A22)&gt;0,1,0))</f>
        <v>1</v>
      </c>
      <c r="G22" t="e">
        <f ca="1">IF(ISBLANK(A22), "", IF(SUMIFS('Annotated Papers'!I:I, 'Annotated Papers'!A:A,A22)&gt;0,1,0))</f>
        <v>#NAME?</v>
      </c>
      <c r="H22">
        <f ca="1">IF(ISBLANK(A22), "", IF(SUMIFS('Annotated Papers'!L:L, 'Annotated Papers'!A:A,A22)&gt;0,1,0))</f>
        <v>1</v>
      </c>
      <c r="I22" s="24">
        <f ca="1">IF(ISBLANK(A22), "", VLOOKUP(A22,'Annotated Papers'!21:1060,4,FALSE))</f>
        <v>0</v>
      </c>
    </row>
    <row r="23" spans="1:9" ht="14">
      <c r="A23" s="26" t="str">
        <f ca="1">IFERROR(__xludf.DUMMYFUNCTION("""COMPUTED_VALUE"""),"Sequential Pattern Analysis on Neurosurgical Simulation Data")</f>
        <v>Sequential Pattern Analysis on Neurosurgical Simulation Data</v>
      </c>
      <c r="B23" t="str">
        <f ca="1">IF(ISBLANK(A23), "", VLOOKUP(A23,'Annotated Papers'!22:1061,2,FALSE))</f>
        <v>ML4H</v>
      </c>
      <c r="C23" s="24">
        <f ca="1">IF(ISBLANK(A23), "", VLOOKUP(A23,'Annotated Papers'!22:1061,5,FALSE))</f>
        <v>0</v>
      </c>
      <c r="D23">
        <f ca="1">IF(ISBLANK(A23), "", IF(COUNTIF('Annotated Papers'!A:A,A23)&gt;1,1,0))</f>
        <v>0</v>
      </c>
      <c r="E23">
        <f ca="1">IF(ISBLANK(A23), "", IF(SUMIFS('Annotated Papers'!G:G, 'Annotated Papers'!A:A,A23)&gt;0,1,0))</f>
        <v>0</v>
      </c>
      <c r="F23">
        <f ca="1">IF(ISBLANK(A23), "", IF(SUMIFS('Annotated Papers'!H:H, 'Annotated Papers'!A:A,A23)&gt;0,1,0))</f>
        <v>0</v>
      </c>
      <c r="G23" t="e">
        <f ca="1">IF(ISBLANK(A23), "", IF(SUMIFS('Annotated Papers'!I:I, 'Annotated Papers'!A:A,A23)&gt;0,1,0))</f>
        <v>#NAME?</v>
      </c>
      <c r="H23">
        <f ca="1">IF(ISBLANK(A23), "", IF(SUMIFS('Annotated Papers'!L:L, 'Annotated Papers'!A:A,A23)&gt;0,1,0))</f>
        <v>1</v>
      </c>
      <c r="I23" s="24">
        <f ca="1">IF(ISBLANK(A23), "", VLOOKUP(A23,'Annotated Papers'!22:1061,4,FALSE))</f>
        <v>0</v>
      </c>
    </row>
    <row r="24" spans="1:9" ht="14">
      <c r="A24" s="25" t="str">
        <f ca="1">IFERROR(__xludf.DUMMYFUNCTION("""COMPUTED_VALUE"""),"Multi-task multiple kernel learning reveals relevant frequency bands for critical areas localization in focal epilepsy")</f>
        <v>Multi-task multiple kernel learning reveals relevant frequency bands for critical areas localization in focal epilepsy</v>
      </c>
      <c r="B24" t="str">
        <f ca="1">IF(ISBLANK(A24), "", VLOOKUP(A24,'Annotated Papers'!23:1062,2,FALSE))</f>
        <v>ML4H</v>
      </c>
      <c r="C24" s="24">
        <f ca="1">IF(ISBLANK(A24), "", VLOOKUP(A24,'Annotated Papers'!23:1062,5,FALSE))</f>
        <v>0</v>
      </c>
      <c r="D24">
        <f ca="1">IF(ISBLANK(A24), "", IF(COUNTIF('Annotated Papers'!A:A,A24)&gt;1,1,0))</f>
        <v>0</v>
      </c>
      <c r="E24">
        <f ca="1">IF(ISBLANK(A24), "", IF(SUMIFS('Annotated Papers'!G:G, 'Annotated Papers'!A:A,A24)&gt;0,1,0))</f>
        <v>1</v>
      </c>
      <c r="F24">
        <f ca="1">IF(ISBLANK(A24), "", IF(SUMIFS('Annotated Papers'!H:H, 'Annotated Papers'!A:A,A24)&gt;0,1,0))</f>
        <v>0</v>
      </c>
      <c r="G24" t="e">
        <f ca="1">IF(ISBLANK(A24), "", IF(SUMIFS('Annotated Papers'!I:I, 'Annotated Papers'!A:A,A24)&gt;0,1,0))</f>
        <v>#NAME?</v>
      </c>
      <c r="H24">
        <f ca="1">IF(ISBLANK(A24), "", IF(SUMIFS('Annotated Papers'!L:L, 'Annotated Papers'!A:A,A24)&gt;0,1,0))</f>
        <v>1</v>
      </c>
      <c r="I24" s="24">
        <f ca="1">IF(ISBLANK(A24), "", VLOOKUP(A24,'Annotated Papers'!23:1062,4,FALSE))</f>
        <v>0</v>
      </c>
    </row>
    <row r="25" spans="1:9" ht="14">
      <c r="A25" s="25" t="str">
        <f ca="1">IFERROR(__xludf.DUMMYFUNCTION("""COMPUTED_VALUE"""),"Contextual Bandits for Adapting Treatment in a Mouse Model of de Novo Carcinogenesis")</f>
        <v>Contextual Bandits for Adapting Treatment in a Mouse Model of de Novo Carcinogenesis</v>
      </c>
      <c r="B25" t="str">
        <f ca="1">IF(ISBLANK(A25), "", VLOOKUP(A25,'Annotated Papers'!24:1063,2,FALSE))</f>
        <v>ML4H</v>
      </c>
      <c r="C25" s="24">
        <f ca="1">IF(ISBLANK(A25), "", VLOOKUP(A25,'Annotated Papers'!24:1063,5,FALSE))</f>
        <v>0</v>
      </c>
      <c r="D25">
        <f ca="1">IF(ISBLANK(A25), "", IF(COUNTIF('Annotated Papers'!A:A,A25)&gt;1,1,0))</f>
        <v>0</v>
      </c>
      <c r="E25">
        <f ca="1">IF(ISBLANK(A25), "", IF(SUMIFS('Annotated Papers'!G:G, 'Annotated Papers'!A:A,A25)&gt;0,1,0))</f>
        <v>0</v>
      </c>
      <c r="F25">
        <f ca="1">IF(ISBLANK(A25), "", IF(SUMIFS('Annotated Papers'!H:H, 'Annotated Papers'!A:A,A25)&gt;0,1,0))</f>
        <v>0</v>
      </c>
      <c r="G25" t="e">
        <f ca="1">IF(ISBLANK(A25), "", IF(SUMIFS('Annotated Papers'!I:I, 'Annotated Papers'!A:A,A25)&gt;0,1,0))</f>
        <v>#NAME?</v>
      </c>
      <c r="H25">
        <f ca="1">IF(ISBLANK(A25), "", IF(SUMIFS('Annotated Papers'!L:L, 'Annotated Papers'!A:A,A25)&gt;0,1,0))</f>
        <v>1</v>
      </c>
      <c r="I25" s="24">
        <f ca="1">IF(ISBLANK(A25), "", VLOOKUP(A25,'Annotated Papers'!24:1063,4,FALSE))</f>
        <v>0</v>
      </c>
    </row>
    <row r="26" spans="1:9" ht="14">
      <c r="A26" s="25" t="str">
        <f ca="1">IFERROR(__xludf.DUMMYFUNCTION("""COMPUTED_VALUE"""),"Predicting Smoking Events with a Time-Varying Semi-Parametric Hawkes Process Model")</f>
        <v>Predicting Smoking Events with a Time-Varying Semi-Parametric Hawkes Process Model</v>
      </c>
      <c r="B26" t="str">
        <f ca="1">IF(ISBLANK(A26), "", VLOOKUP(A26,'Annotated Papers'!25:1064,2,FALSE))</f>
        <v>ML4H</v>
      </c>
      <c r="C26" s="24">
        <f ca="1">IF(ISBLANK(A26), "", VLOOKUP(A26,'Annotated Papers'!25:1064,5,FALSE))</f>
        <v>0</v>
      </c>
      <c r="D26">
        <f ca="1">IF(ISBLANK(A26), "", IF(COUNTIF('Annotated Papers'!A:A,A26)&gt;1,1,0))</f>
        <v>0</v>
      </c>
      <c r="E26">
        <f ca="1">IF(ISBLANK(A26), "", IF(SUMIFS('Annotated Papers'!G:G, 'Annotated Papers'!A:A,A26)&gt;0,1,0))</f>
        <v>1</v>
      </c>
      <c r="F26">
        <f ca="1">IF(ISBLANK(A26), "", IF(SUMIFS('Annotated Papers'!H:H, 'Annotated Papers'!A:A,A26)&gt;0,1,0))</f>
        <v>0</v>
      </c>
      <c r="G26" t="e">
        <f ca="1">IF(ISBLANK(A26), "", IF(SUMIFS('Annotated Papers'!I:I, 'Annotated Papers'!A:A,A26)&gt;0,1,0))</f>
        <v>#NAME?</v>
      </c>
      <c r="H26">
        <f ca="1">IF(ISBLANK(A26), "", IF(SUMIFS('Annotated Papers'!L:L, 'Annotated Papers'!A:A,A26)&gt;0,1,0))</f>
        <v>0</v>
      </c>
      <c r="I26" s="24">
        <f ca="1">IF(ISBLANK(A26), "", VLOOKUP(A26,'Annotated Papers'!25:1064,4,FALSE))</f>
        <v>0</v>
      </c>
    </row>
    <row r="27" spans="1:9" ht="14">
      <c r="A27" s="25" t="str">
        <f ca="1">IFERROR(__xludf.DUMMYFUNCTION("""COMPUTED_VALUE"""),"Modeling ""Presentness"" of Electronic Health Record Data to Improve Patient State Estimation")</f>
        <v>Modeling "Presentness" of Electronic Health Record Data to Improve Patient State Estimation</v>
      </c>
      <c r="B27" t="str">
        <f ca="1">IF(ISBLANK(A27), "", VLOOKUP(A27,'Annotated Papers'!26:1065,2,FALSE))</f>
        <v>ML4H</v>
      </c>
      <c r="C27" s="24">
        <f ca="1">IF(ISBLANK(A27), "", VLOOKUP(A27,'Annotated Papers'!26:1065,5,FALSE))</f>
        <v>0</v>
      </c>
      <c r="D27">
        <f ca="1">IF(ISBLANK(A27), "", IF(COUNTIF('Annotated Papers'!A:A,A27)&gt;1,1,0))</f>
        <v>0</v>
      </c>
      <c r="E27">
        <f ca="1">IF(ISBLANK(A27), "", IF(SUMIFS('Annotated Papers'!G:G, 'Annotated Papers'!A:A,A27)&gt;0,1,0))</f>
        <v>1</v>
      </c>
      <c r="F27">
        <f ca="1">IF(ISBLANK(A27), "", IF(SUMIFS('Annotated Papers'!H:H, 'Annotated Papers'!A:A,A27)&gt;0,1,0))</f>
        <v>0</v>
      </c>
      <c r="G27">
        <f ca="1">IF(ISBLANK(A27), "", IF(SUMIFS('Annotated Papers'!I:I, 'Annotated Papers'!A:A,A27)&gt;0,1,0))</f>
        <v>0</v>
      </c>
      <c r="H27">
        <f ca="1">IF(ISBLANK(A27), "", IF(SUMIFS('Annotated Papers'!L:L, 'Annotated Papers'!A:A,A27)&gt;0,1,0))</f>
        <v>0</v>
      </c>
      <c r="I27" s="24">
        <f ca="1">IF(ISBLANK(A27), "", VLOOKUP(A27,'Annotated Papers'!26:1065,4,FALSE))</f>
        <v>0</v>
      </c>
    </row>
    <row r="28" spans="1:9" ht="14">
      <c r="A28" s="26" t="str">
        <f ca="1">IFERROR(__xludf.DUMMYFUNCTION("""COMPUTED_VALUE"""),"Learning to Summarize Electronic Health Records Using Cross-Modality Correspondences")</f>
        <v>Learning to Summarize Electronic Health Records Using Cross-Modality Correspondences</v>
      </c>
      <c r="B28" t="str">
        <f ca="1">IF(ISBLANK(A28), "", VLOOKUP(A28,'Annotated Papers'!27:1066,2,FALSE))</f>
        <v>ML4H</v>
      </c>
      <c r="C28" s="24">
        <f ca="1">IF(ISBLANK(A28), "", VLOOKUP(A28,'Annotated Papers'!27:1066,5,FALSE))</f>
        <v>0</v>
      </c>
      <c r="D28">
        <f ca="1">IF(ISBLANK(A28), "", IF(COUNTIF('Annotated Papers'!A:A,A28)&gt;1,1,0))</f>
        <v>0</v>
      </c>
      <c r="E28">
        <f ca="1">IF(ISBLANK(A28), "", IF(SUMIFS('Annotated Papers'!G:G, 'Annotated Papers'!A:A,A28)&gt;0,1,0))</f>
        <v>1</v>
      </c>
      <c r="F28">
        <f ca="1">IF(ISBLANK(A28), "", IF(SUMIFS('Annotated Papers'!H:H, 'Annotated Papers'!A:A,A28)&gt;0,1,0))</f>
        <v>1</v>
      </c>
      <c r="G28" t="e">
        <f ca="1">IF(ISBLANK(A28), "", IF(SUMIFS('Annotated Papers'!I:I, 'Annotated Papers'!A:A,A28)&gt;0,1,0))</f>
        <v>#NAME?</v>
      </c>
      <c r="H28">
        <f ca="1">IF(ISBLANK(A28), "", IF(SUMIFS('Annotated Papers'!L:L, 'Annotated Papers'!A:A,A28)&gt;0,1,0))</f>
        <v>1</v>
      </c>
      <c r="I28" s="24">
        <f ca="1">IF(ISBLANK(A28), "", VLOOKUP(A28,'Annotated Papers'!27:1066,4,FALSE))</f>
        <v>0</v>
      </c>
    </row>
    <row r="29" spans="1:9" ht="14">
      <c r="A29" s="26" t="str">
        <f ca="1">IFERROR(__xludf.DUMMYFUNCTION("""COMPUTED_VALUE"""),"Towards Understanding ECG Rhythm Classification Using Convolutional Neural Networks and Attention Mappings")</f>
        <v>Towards Understanding ECG Rhythm Classification Using Convolutional Neural Networks and Attention Mappings</v>
      </c>
      <c r="B29" t="str">
        <f ca="1">IF(ISBLANK(A29), "", VLOOKUP(A29,'Annotated Papers'!28:1067,2,FALSE))</f>
        <v>ML4H</v>
      </c>
      <c r="C29" s="24">
        <f ca="1">IF(ISBLANK(A29), "", VLOOKUP(A29,'Annotated Papers'!28:1067,5,FALSE))</f>
        <v>1</v>
      </c>
      <c r="D29">
        <f ca="1">IF(ISBLANK(A29), "", IF(COUNTIF('Annotated Papers'!A:A,A29)&gt;1,1,0))</f>
        <v>0</v>
      </c>
      <c r="E29">
        <f ca="1">IF(ISBLANK(A29), "", IF(SUMIFS('Annotated Papers'!G:G, 'Annotated Papers'!A:A,A29)&gt;0,1,0))</f>
        <v>0</v>
      </c>
      <c r="F29">
        <f ca="1">IF(ISBLANK(A29), "", IF(SUMIFS('Annotated Papers'!H:H, 'Annotated Papers'!A:A,A29)&gt;0,1,0))</f>
        <v>1</v>
      </c>
      <c r="G29" t="e">
        <f ca="1">IF(ISBLANK(A29), "", IF(SUMIFS('Annotated Papers'!I:I, 'Annotated Papers'!A:A,A29)&gt;0,1,0))</f>
        <v>#NAME?</v>
      </c>
      <c r="H29">
        <f ca="1">IF(ISBLANK(A29), "", IF(SUMIFS('Annotated Papers'!L:L, 'Annotated Papers'!A:A,A29)&gt;0,1,0))</f>
        <v>0</v>
      </c>
      <c r="I29" s="24">
        <f ca="1">IF(ISBLANK(A29), "", VLOOKUP(A29,'Annotated Papers'!28:1067,4,FALSE))</f>
        <v>0</v>
      </c>
    </row>
    <row r="30" spans="1:9" ht="14">
      <c r="A30" s="25" t="str">
        <f ca="1">IFERROR(__xludf.DUMMYFUNCTION("""COMPUTED_VALUE"""),"3D Point Cloud-Based Visual Prediction of ICU Mobility Care Activities")</f>
        <v>3D Point Cloud-Based Visual Prediction of ICU Mobility Care Activities</v>
      </c>
      <c r="B30" t="str">
        <f ca="1">IF(ISBLANK(A30), "", VLOOKUP(A30,'Annotated Papers'!29:1068,2,FALSE))</f>
        <v>ML4H</v>
      </c>
      <c r="C30" s="24">
        <f ca="1">IF(ISBLANK(A30), "", VLOOKUP(A30,'Annotated Papers'!29:1068,5,FALSE))</f>
        <v>0</v>
      </c>
      <c r="D30">
        <f ca="1">IF(ISBLANK(A30), "", IF(COUNTIF('Annotated Papers'!A:A,A30)&gt;1,1,0))</f>
        <v>0</v>
      </c>
      <c r="E30">
        <f ca="1">IF(ISBLANK(A30), "", IF(SUMIFS('Annotated Papers'!G:G, 'Annotated Papers'!A:A,A30)&gt;0,1,0))</f>
        <v>0</v>
      </c>
      <c r="F30">
        <f ca="1">IF(ISBLANK(A30), "", IF(SUMIFS('Annotated Papers'!H:H, 'Annotated Papers'!A:A,A30)&gt;0,1,0))</f>
        <v>0</v>
      </c>
      <c r="G30" t="e">
        <f ca="1">IF(ISBLANK(A30), "", IF(SUMIFS('Annotated Papers'!I:I, 'Annotated Papers'!A:A,A30)&gt;0,1,0))</f>
        <v>#NAME?</v>
      </c>
      <c r="H30">
        <f ca="1">IF(ISBLANK(A30), "", IF(SUMIFS('Annotated Papers'!L:L, 'Annotated Papers'!A:A,A30)&gt;0,1,0))</f>
        <v>0</v>
      </c>
      <c r="I30" s="24">
        <f ca="1">IF(ISBLANK(A30), "", VLOOKUP(A30,'Annotated Papers'!29:1068,4,FALSE))</f>
        <v>0</v>
      </c>
    </row>
    <row r="31" spans="1:9" ht="14">
      <c r="A31" s="26" t="str">
        <f ca="1">IFERROR(__xludf.DUMMYFUNCTION("""COMPUTED_VALUE"""),"Reproducible Survival Prediction with SEER Cancer Data")</f>
        <v>Reproducible Survival Prediction with SEER Cancer Data</v>
      </c>
      <c r="B31" t="str">
        <f ca="1">IF(ISBLANK(A31), "", VLOOKUP(A31,'Annotated Papers'!30:1069,2,FALSE))</f>
        <v>ML4H</v>
      </c>
      <c r="C31" s="24">
        <f ca="1">IF(ISBLANK(A31), "", VLOOKUP(A31,'Annotated Papers'!30:1069,5,FALSE))</f>
        <v>1</v>
      </c>
      <c r="D31">
        <f ca="1">IF(ISBLANK(A31), "", IF(COUNTIF('Annotated Papers'!A:A,A31)&gt;1,1,0))</f>
        <v>0</v>
      </c>
      <c r="E31">
        <f ca="1">IF(ISBLANK(A31), "", IF(SUMIFS('Annotated Papers'!G:G, 'Annotated Papers'!A:A,A31)&gt;0,1,0))</f>
        <v>1</v>
      </c>
      <c r="F31">
        <f ca="1">IF(ISBLANK(A31), "", IF(SUMIFS('Annotated Papers'!H:H, 'Annotated Papers'!A:A,A31)&gt;0,1,0))</f>
        <v>1</v>
      </c>
      <c r="G31" t="e">
        <f ca="1">IF(ISBLANK(A31), "", IF(SUMIFS('Annotated Papers'!I:I, 'Annotated Papers'!A:A,A31)&gt;0,1,0))</f>
        <v>#NAME?</v>
      </c>
      <c r="H31">
        <f ca="1">IF(ISBLANK(A31), "", IF(SUMIFS('Annotated Papers'!L:L, 'Annotated Papers'!A:A,A31)&gt;0,1,0))</f>
        <v>0</v>
      </c>
      <c r="I31" s="24">
        <f ca="1">IF(ISBLANK(A31), "", VLOOKUP(A31,'Annotated Papers'!30:1069,4,FALSE))</f>
        <v>0</v>
      </c>
    </row>
    <row r="32" spans="1:9" ht="14">
      <c r="A32" s="26" t="str">
        <f ca="1">IFERROR(__xludf.DUMMYFUNCTION("""COMPUTED_VALUE"""),"Bayesian Trees for Automated Cytometry Data Analysis")</f>
        <v>Bayesian Trees for Automated Cytometry Data Analysis</v>
      </c>
      <c r="B32" t="str">
        <f ca="1">IF(ISBLANK(A32), "", VLOOKUP(A32,'Annotated Papers'!31:1070,2,FALSE))</f>
        <v>ML4H</v>
      </c>
      <c r="C32" s="24">
        <f ca="1">IF(ISBLANK(A32), "", VLOOKUP(A32,'Annotated Papers'!31:1070,5,FALSE))</f>
        <v>0</v>
      </c>
      <c r="D32">
        <f ca="1">IF(ISBLANK(A32), "", IF(COUNTIF('Annotated Papers'!A:A,A32)&gt;1,1,0))</f>
        <v>1</v>
      </c>
      <c r="E32">
        <f ca="1">IF(ISBLANK(A32), "", IF(SUMIFS('Annotated Papers'!G:G, 'Annotated Papers'!A:A,A32)&gt;0,1,0))</f>
        <v>0</v>
      </c>
      <c r="F32">
        <f ca="1">IF(ISBLANK(A32), "", IF(SUMIFS('Annotated Papers'!H:H, 'Annotated Papers'!A:A,A32)&gt;0,1,0))</f>
        <v>1</v>
      </c>
      <c r="G32" t="e">
        <f ca="1">IF(ISBLANK(A32), "", IF(SUMIFS('Annotated Papers'!I:I, 'Annotated Papers'!A:A,A32)&gt;0,1,0))</f>
        <v>#NAME?</v>
      </c>
      <c r="H32">
        <f ca="1">IF(ISBLANK(A32), "", IF(SUMIFS('Annotated Papers'!L:L, 'Annotated Papers'!A:A,A32)&gt;0,1,0))</f>
        <v>0</v>
      </c>
      <c r="I32" s="24">
        <f ca="1">IF(ISBLANK(A32), "", VLOOKUP(A32,'Annotated Papers'!31:1070,4,FALSE))</f>
        <v>0</v>
      </c>
    </row>
    <row r="33" spans="1:9" ht="14">
      <c r="A33" s="26" t="str">
        <f ca="1">IFERROR(__xludf.DUMMYFUNCTION("""COMPUTED_VALUE"""),"Disease-Atlas: Navigating Disease Trajectories using Deep Learning")</f>
        <v>Disease-Atlas: Navigating Disease Trajectories using Deep Learning</v>
      </c>
      <c r="B33" t="str">
        <f ca="1">IF(ISBLANK(A33), "", VLOOKUP(A33,'Annotated Papers'!32:1071,2,FALSE))</f>
        <v>ML4H</v>
      </c>
      <c r="C33" s="24">
        <f ca="1">IF(ISBLANK(A33), "", VLOOKUP(A33,'Annotated Papers'!32:1071,5,FALSE))</f>
        <v>0</v>
      </c>
      <c r="D33">
        <f ca="1">IF(ISBLANK(A33), "", IF(COUNTIF('Annotated Papers'!A:A,A33)&gt;1,1,0))</f>
        <v>0</v>
      </c>
      <c r="E33">
        <f ca="1">IF(ISBLANK(A33), "", IF(SUMIFS('Annotated Papers'!G:G, 'Annotated Papers'!A:A,A33)&gt;0,1,0))</f>
        <v>1</v>
      </c>
      <c r="F33">
        <f ca="1">IF(ISBLANK(A33), "", IF(SUMIFS('Annotated Papers'!H:H, 'Annotated Papers'!A:A,A33)&gt;0,1,0))</f>
        <v>1</v>
      </c>
      <c r="G33" t="e">
        <f ca="1">IF(ISBLANK(A33), "", IF(SUMIFS('Annotated Papers'!I:I, 'Annotated Papers'!A:A,A33)&gt;0,1,0))</f>
        <v>#NAME?</v>
      </c>
      <c r="H33">
        <f ca="1">IF(ISBLANK(A33), "", IF(SUMIFS('Annotated Papers'!L:L, 'Annotated Papers'!A:A,A33)&gt;0,1,0))</f>
        <v>1</v>
      </c>
      <c r="I33" s="24">
        <f ca="1">IF(ISBLANK(A33), "", VLOOKUP(A33,'Annotated Papers'!32:1071,4,FALSE))</f>
        <v>0</v>
      </c>
    </row>
    <row r="34" spans="1:9" ht="14">
      <c r="A34" s="25" t="str">
        <f ca="1">IFERROR(__xludf.DUMMYFUNCTION("""COMPUTED_VALUE"""),"Automated Treatment Planning in Radiation Therapy using Generative Adversarial Networks")</f>
        <v>Automated Treatment Planning in Radiation Therapy using Generative Adversarial Networks</v>
      </c>
      <c r="B34" t="str">
        <f ca="1">IF(ISBLANK(A34), "", VLOOKUP(A34,'Annotated Papers'!33:1072,2,FALSE))</f>
        <v>ML4H</v>
      </c>
      <c r="C34" s="24">
        <f ca="1">IF(ISBLANK(A34), "", VLOOKUP(A34,'Annotated Papers'!33:1072,5,FALSE))</f>
        <v>0</v>
      </c>
      <c r="D34">
        <f ca="1">IF(ISBLANK(A34), "", IF(COUNTIF('Annotated Papers'!A:A,A34)&gt;1,1,0))</f>
        <v>0</v>
      </c>
      <c r="E34">
        <f ca="1">IF(ISBLANK(A34), "", IF(SUMIFS('Annotated Papers'!G:G, 'Annotated Papers'!A:A,A34)&gt;0,1,0))</f>
        <v>1</v>
      </c>
      <c r="F34">
        <f ca="1">IF(ISBLANK(A34), "", IF(SUMIFS('Annotated Papers'!H:H, 'Annotated Papers'!A:A,A34)&gt;0,1,0))</f>
        <v>0</v>
      </c>
      <c r="G34" t="e">
        <f ca="1">IF(ISBLANK(A34), "", IF(SUMIFS('Annotated Papers'!I:I, 'Annotated Papers'!A:A,A34)&gt;0,1,0))</f>
        <v>#NAME?</v>
      </c>
      <c r="H34">
        <f ca="1">IF(ISBLANK(A34), "", IF(SUMIFS('Annotated Papers'!L:L, 'Annotated Papers'!A:A,A34)&gt;0,1,0))</f>
        <v>0</v>
      </c>
      <c r="I34" s="24">
        <f ca="1">IF(ISBLANK(A34), "", VLOOKUP(A34,'Annotated Papers'!33:1072,4,FALSE))</f>
        <v>0</v>
      </c>
    </row>
    <row r="35" spans="1:9" ht="14">
      <c r="A35" s="25" t="str">
        <f ca="1">IFERROR(__xludf.DUMMYFUNCTION("""COMPUTED_VALUE"""),"Representational Learning Approaches for ECG Dynamics to Detect False Arrhythmia Alarms")</f>
        <v>Representational Learning Approaches for ECG Dynamics to Detect False Arrhythmia Alarms</v>
      </c>
      <c r="B35" t="str">
        <f ca="1">IF(ISBLANK(A35), "", VLOOKUP(A35,'Annotated Papers'!34:1073,2,FALSE))</f>
        <v>ML4H</v>
      </c>
      <c r="C35" s="24">
        <f ca="1">IF(ISBLANK(A35), "", VLOOKUP(A35,'Annotated Papers'!34:1073,5,FALSE))</f>
        <v>0</v>
      </c>
      <c r="D35">
        <f ca="1">IF(ISBLANK(A35), "", IF(COUNTIF('Annotated Papers'!A:A,A35)&gt;1,1,0))</f>
        <v>1</v>
      </c>
      <c r="E35">
        <f ca="1">IF(ISBLANK(A35), "", IF(SUMIFS('Annotated Papers'!G:G, 'Annotated Papers'!A:A,A35)&gt;0,1,0))</f>
        <v>0</v>
      </c>
      <c r="F35">
        <f ca="1">IF(ISBLANK(A35), "", IF(SUMIFS('Annotated Papers'!H:H, 'Annotated Papers'!A:A,A35)&gt;0,1,0))</f>
        <v>1</v>
      </c>
      <c r="G35" t="e">
        <f ca="1">IF(ISBLANK(A35), "", IF(SUMIFS('Annotated Papers'!I:I, 'Annotated Papers'!A:A,A35)&gt;0,1,0))</f>
        <v>#NAME?</v>
      </c>
      <c r="H35">
        <f ca="1">IF(ISBLANK(A35), "", IF(SUMIFS('Annotated Papers'!L:L, 'Annotated Papers'!A:A,A35)&gt;0,1,0))</f>
        <v>1</v>
      </c>
      <c r="I35" s="24">
        <f ca="1">IF(ISBLANK(A35), "", VLOOKUP(A35,'Annotated Papers'!34:1073,4,FALSE))</f>
        <v>0</v>
      </c>
    </row>
    <row r="36" spans="1:9" ht="14">
      <c r="A36" s="25" t="str">
        <f ca="1">IFERROR(__xludf.DUMMYFUNCTION("""COMPUTED_VALUE"""),"Deep Spine: Automated Lumbar Vertebral Segmentation, Disc-Level Designation, and Spinal Stenosis Grading Using Deep Learning")</f>
        <v>Deep Spine: Automated Lumbar Vertebral Segmentation, Disc-Level Designation, and Spinal Stenosis Grading Using Deep Learning</v>
      </c>
      <c r="B36" t="str">
        <f ca="1">IF(ISBLANK(A36), "", VLOOKUP(A36,'Annotated Papers'!35:1074,2,FALSE))</f>
        <v>ML4H</v>
      </c>
      <c r="C36" s="24">
        <f ca="1">IF(ISBLANK(A36), "", VLOOKUP(A36,'Annotated Papers'!35:1074,5,FALSE))</f>
        <v>0</v>
      </c>
      <c r="D36">
        <f ca="1">IF(ISBLANK(A36), "", IF(COUNTIF('Annotated Papers'!A:A,A36)&gt;1,1,0))</f>
        <v>0</v>
      </c>
      <c r="E36">
        <f ca="1">IF(ISBLANK(A36), "", IF(SUMIFS('Annotated Papers'!G:G, 'Annotated Papers'!A:A,A36)&gt;0,1,0))</f>
        <v>1</v>
      </c>
      <c r="F36">
        <f ca="1">IF(ISBLANK(A36), "", IF(SUMIFS('Annotated Papers'!H:H, 'Annotated Papers'!A:A,A36)&gt;0,1,0))</f>
        <v>0</v>
      </c>
      <c r="G36" t="e">
        <f ca="1">IF(ISBLANK(A36), "", IF(SUMIFS('Annotated Papers'!I:I, 'Annotated Papers'!A:A,A36)&gt;0,1,0))</f>
        <v>#NAME?</v>
      </c>
      <c r="H36">
        <f ca="1">IF(ISBLANK(A36), "", IF(SUMIFS('Annotated Papers'!L:L, 'Annotated Papers'!A:A,A36)&gt;0,1,0))</f>
        <v>1</v>
      </c>
      <c r="I36" s="24">
        <f ca="1">IF(ISBLANK(A36), "", VLOOKUP(A36,'Annotated Papers'!35:1074,4,FALSE))</f>
        <v>0</v>
      </c>
    </row>
    <row r="37" spans="1:9" ht="14">
      <c r="A37" s="25" t="str">
        <f ca="1">IFERROR(__xludf.DUMMYFUNCTION("""COMPUTED_VALUE"""),"Integrating Hypertension Phenotype and Genotype with Hybrid Non-negative Matrix Factorization")</f>
        <v>Integrating Hypertension Phenotype and Genotype with Hybrid Non-negative Matrix Factorization</v>
      </c>
      <c r="B37" t="str">
        <f ca="1">IF(ISBLANK(A37), "", VLOOKUP(A37,'Annotated Papers'!36:1075,2,FALSE))</f>
        <v>ML4H</v>
      </c>
      <c r="C37" s="24">
        <f ca="1">IF(ISBLANK(A37), "", VLOOKUP(A37,'Annotated Papers'!36:1075,5,FALSE))</f>
        <v>0</v>
      </c>
      <c r="D37">
        <f ca="1">IF(ISBLANK(A37), "", IF(COUNTIF('Annotated Papers'!A:A,A37)&gt;1,1,0))</f>
        <v>1</v>
      </c>
      <c r="E37">
        <f ca="1">IF(ISBLANK(A37), "", IF(SUMIFS('Annotated Papers'!G:G, 'Annotated Papers'!A:A,A37)&gt;0,1,0))</f>
        <v>1</v>
      </c>
      <c r="F37">
        <f ca="1">IF(ISBLANK(A37), "", IF(SUMIFS('Annotated Papers'!H:H, 'Annotated Papers'!A:A,A37)&gt;0,1,0))</f>
        <v>1</v>
      </c>
      <c r="G37" t="e">
        <f ca="1">IF(ISBLANK(A37), "", IF(SUMIFS('Annotated Papers'!I:I, 'Annotated Papers'!A:A,A37)&gt;0,1,0))</f>
        <v>#NAME?</v>
      </c>
      <c r="H37">
        <f ca="1">IF(ISBLANK(A37), "", IF(SUMIFS('Annotated Papers'!L:L, 'Annotated Papers'!A:A,A37)&gt;0,1,0))</f>
        <v>0</v>
      </c>
      <c r="I37" s="24">
        <f ca="1">IF(ISBLANK(A37), "", VLOOKUP(A37,'Annotated Papers'!36:1075,4,FALSE))</f>
        <v>0</v>
      </c>
    </row>
    <row r="38" spans="1:9" ht="14">
      <c r="A38" s="26" t="str">
        <f ca="1">IFERROR(__xludf.DUMMYFUNCTION("""COMPUTED_VALUE"""),"Computer Vision-based Descriptive Analytics of Seniors' Daily Activities for Long-term Health Monitoring")</f>
        <v>Computer Vision-based Descriptive Analytics of Seniors' Daily Activities for Long-term Health Monitoring</v>
      </c>
      <c r="B38" t="str">
        <f ca="1">IF(ISBLANK(A38), "", VLOOKUP(A38,'Annotated Papers'!37:1076,2,FALSE))</f>
        <v>ML4H</v>
      </c>
      <c r="C38" s="24">
        <f ca="1">IF(ISBLANK(A38), "", VLOOKUP(A38,'Annotated Papers'!37:1076,5,FALSE))</f>
        <v>0</v>
      </c>
      <c r="D38">
        <f ca="1">IF(ISBLANK(A38), "", IF(COUNTIF('Annotated Papers'!A:A,A38)&gt;1,1,0))</f>
        <v>0</v>
      </c>
      <c r="E38">
        <f ca="1">IF(ISBLANK(A38), "", IF(SUMIFS('Annotated Papers'!G:G, 'Annotated Papers'!A:A,A38)&gt;0,1,0))</f>
        <v>1</v>
      </c>
      <c r="F38">
        <f ca="1">IF(ISBLANK(A38), "", IF(SUMIFS('Annotated Papers'!H:H, 'Annotated Papers'!A:A,A38)&gt;0,1,0))</f>
        <v>0</v>
      </c>
      <c r="G38" t="e">
        <f ca="1">IF(ISBLANK(A38), "", IF(SUMIFS('Annotated Papers'!I:I, 'Annotated Papers'!A:A,A38)&gt;0,1,0))</f>
        <v>#NAME?</v>
      </c>
      <c r="H38">
        <f ca="1">IF(ISBLANK(A38), "", IF(SUMIFS('Annotated Papers'!L:L, 'Annotated Papers'!A:A,A38)&gt;0,1,0))</f>
        <v>0</v>
      </c>
      <c r="I38" s="24">
        <f ca="1">IF(ISBLANK(A38), "", VLOOKUP(A38,'Annotated Papers'!37:1076,4,FALSE))</f>
        <v>0</v>
      </c>
    </row>
    <row r="39" spans="1:9" ht="14">
      <c r="A39" s="26" t="str">
        <f ca="1">IFERROR(__xludf.DUMMYFUNCTION("""COMPUTED_VALUE"""),"Integrating Machine Learning and Optimization Methods for Imaging of Patients with Prostate Cancer")</f>
        <v>Integrating Machine Learning and Optimization Methods for Imaging of Patients with Prostate Cancer</v>
      </c>
      <c r="B39" t="str">
        <f ca="1">IF(ISBLANK(A39), "", VLOOKUP(A39,'Annotated Papers'!38:1077,2,FALSE))</f>
        <v>ML4H</v>
      </c>
      <c r="C39" s="24">
        <f ca="1">IF(ISBLANK(A39), "", VLOOKUP(A39,'Annotated Papers'!38:1077,5,FALSE))</f>
        <v>0</v>
      </c>
      <c r="D39">
        <f ca="1">IF(ISBLANK(A39), "", IF(COUNTIF('Annotated Papers'!A:A,A39)&gt;1,1,0))</f>
        <v>0</v>
      </c>
      <c r="E39">
        <f ca="1">IF(ISBLANK(A39), "", IF(SUMIFS('Annotated Papers'!G:G, 'Annotated Papers'!A:A,A39)&gt;0,1,0))</f>
        <v>1</v>
      </c>
      <c r="F39">
        <f ca="1">IF(ISBLANK(A39), "", IF(SUMIFS('Annotated Papers'!H:H, 'Annotated Papers'!A:A,A39)&gt;0,1,0))</f>
        <v>0</v>
      </c>
      <c r="G39" t="e">
        <f ca="1">IF(ISBLANK(A39), "", IF(SUMIFS('Annotated Papers'!I:I, 'Annotated Papers'!A:A,A39)&gt;0,1,0))</f>
        <v>#NAME?</v>
      </c>
      <c r="H39">
        <f ca="1">IF(ISBLANK(A39), "", IF(SUMIFS('Annotated Papers'!L:L, 'Annotated Papers'!A:A,A39)&gt;0,1,0))</f>
        <v>1</v>
      </c>
      <c r="I39" s="24">
        <f ca="1">IF(ISBLANK(A39), "", VLOOKUP(A39,'Annotated Papers'!38:1077,4,FALSE))</f>
        <v>0</v>
      </c>
    </row>
    <row r="40" spans="1:9" ht="14">
      <c r="A40" s="25" t="str">
        <f ca="1">IFERROR(__xludf.DUMMYFUNCTION("""COMPUTED_VALUE"""),"ConvSCCS: Convolutional Self-Controlled Case Series Model for Lagged Adverse Event Detection")</f>
        <v>ConvSCCS: Convolutional Self-Controlled Case Series Model for Lagged Adverse Event Detection</v>
      </c>
      <c r="B40" t="str">
        <f ca="1">IF(ISBLANK(A40), "", VLOOKUP(A40,'Annotated Papers'!39:1078,2,FALSE))</f>
        <v>ML4H</v>
      </c>
      <c r="C40" s="24">
        <f ca="1">IF(ISBLANK(A40), "", VLOOKUP(A40,'Annotated Papers'!39:1078,5,FALSE))</f>
        <v>0</v>
      </c>
      <c r="D40">
        <f ca="1">IF(ISBLANK(A40), "", IF(COUNTIF('Annotated Papers'!A:A,A40)&gt;1,1,0))</f>
        <v>1</v>
      </c>
      <c r="E40">
        <f ca="1">IF(ISBLANK(A40), "", IF(SUMIFS('Annotated Papers'!G:G, 'Annotated Papers'!A:A,A40)&gt;0,1,0))</f>
        <v>1</v>
      </c>
      <c r="F40">
        <f ca="1">IF(ISBLANK(A40), "", IF(SUMIFS('Annotated Papers'!H:H, 'Annotated Papers'!A:A,A40)&gt;0,1,0))</f>
        <v>1</v>
      </c>
      <c r="G40" t="e">
        <f ca="1">IF(ISBLANK(A40), "", IF(SUMIFS('Annotated Papers'!I:I, 'Annotated Papers'!A:A,A40)&gt;0,1,0))</f>
        <v>#NAME?</v>
      </c>
      <c r="H40">
        <f ca="1">IF(ISBLANK(A40), "", IF(SUMIFS('Annotated Papers'!L:L, 'Annotated Papers'!A:A,A40)&gt;0,1,0))</f>
        <v>1</v>
      </c>
      <c r="I40" s="24">
        <f ca="1">IF(ISBLANK(A40), "", VLOOKUP(A40,'Annotated Papers'!39:1078,4,FALSE))</f>
        <v>0</v>
      </c>
    </row>
    <row r="41" spans="1:9" ht="14">
      <c r="A41" s="25" t="str">
        <f ca="1">IFERROR(__xludf.DUMMYFUNCTION("""COMPUTED_VALUE"""),"Deep Survival Analysis: Nonparametrics and Missingness")</f>
        <v>Deep Survival Analysis: Nonparametrics and Missingness</v>
      </c>
      <c r="B41" t="str">
        <f ca="1">IF(ISBLANK(A41), "", VLOOKUP(A41,'Annotated Papers'!40:1079,2,FALSE))</f>
        <v>ML4H</v>
      </c>
      <c r="C41" s="24">
        <f ca="1">IF(ISBLANK(A41), "", VLOOKUP(A41,'Annotated Papers'!40:1079,5,FALSE))</f>
        <v>0</v>
      </c>
      <c r="D41">
        <f ca="1">IF(ISBLANK(A41), "", IF(COUNTIF('Annotated Papers'!A:A,A41)&gt;1,1,0))</f>
        <v>0</v>
      </c>
      <c r="E41">
        <f ca="1">IF(ISBLANK(A41), "", IF(SUMIFS('Annotated Papers'!G:G, 'Annotated Papers'!A:A,A41)&gt;0,1,0))</f>
        <v>1</v>
      </c>
      <c r="F41">
        <f ca="1">IF(ISBLANK(A41), "", IF(SUMIFS('Annotated Papers'!H:H, 'Annotated Papers'!A:A,A41)&gt;0,1,0))</f>
        <v>0</v>
      </c>
      <c r="G41" t="e">
        <f ca="1">IF(ISBLANK(A41), "", IF(SUMIFS('Annotated Papers'!I:I, 'Annotated Papers'!A:A,A41)&gt;0,1,0))</f>
        <v>#NAME?</v>
      </c>
      <c r="H41">
        <f ca="1">IF(ISBLANK(A41), "", IF(SUMIFS('Annotated Papers'!L:L, 'Annotated Papers'!A:A,A41)&gt;0,1,0))</f>
        <v>0</v>
      </c>
      <c r="I41" s="24">
        <f ca="1">IF(ISBLANK(A41), "", VLOOKUP(A41,'Annotated Papers'!40:1079,4,FALSE))</f>
        <v>0</v>
      </c>
    </row>
    <row r="42" spans="1:9" ht="14">
      <c r="A42" s="26" t="str">
        <f ca="1">IFERROR(__xludf.DUMMYFUNCTION("""COMPUTED_VALUE"""),"Learning to Exploit Invariances in Clinical Time-Series Data using Sequence Transformer Networks")</f>
        <v>Learning to Exploit Invariances in Clinical Time-Series Data using Sequence Transformer Networks</v>
      </c>
      <c r="B42" t="str">
        <f ca="1">IF(ISBLANK(A42), "", VLOOKUP(A42,'Annotated Papers'!41:1080,2,FALSE))</f>
        <v>ML4H</v>
      </c>
      <c r="C42" s="24">
        <f ca="1">IF(ISBLANK(A42), "", VLOOKUP(A42,'Annotated Papers'!41:1080,5,FALSE))</f>
        <v>0</v>
      </c>
      <c r="D42">
        <f ca="1">IF(ISBLANK(A42), "", IF(COUNTIF('Annotated Papers'!A:A,A42)&gt;1,1,0))</f>
        <v>0</v>
      </c>
      <c r="E42">
        <f ca="1">IF(ISBLANK(A42), "", IF(SUMIFS('Annotated Papers'!G:G, 'Annotated Papers'!A:A,A42)&gt;0,1,0))</f>
        <v>1</v>
      </c>
      <c r="F42">
        <f ca="1">IF(ISBLANK(A42), "", IF(SUMIFS('Annotated Papers'!H:H, 'Annotated Papers'!A:A,A42)&gt;0,1,0))</f>
        <v>1</v>
      </c>
      <c r="G42" t="e">
        <f ca="1">IF(ISBLANK(A42), "", IF(SUMIFS('Annotated Papers'!I:I, 'Annotated Papers'!A:A,A42)&gt;0,1,0))</f>
        <v>#NAME?</v>
      </c>
      <c r="H42">
        <f ca="1">IF(ISBLANK(A42), "", IF(SUMIFS('Annotated Papers'!L:L, 'Annotated Papers'!A:A,A42)&gt;0,1,0))</f>
        <v>1</v>
      </c>
      <c r="I42" s="24">
        <f ca="1">IF(ISBLANK(A42), "", VLOOKUP(A42,'Annotated Papers'!41:1080,4,FALSE))</f>
        <v>0</v>
      </c>
    </row>
    <row r="43" spans="1:9" ht="14">
      <c r="A43" s="26" t="str">
        <f ca="1">IFERROR(__xludf.DUMMYFUNCTION("""COMPUTED_VALUE"""),"Learning from the experts: From diagnostic expert systems to machine learning diagnosis models")</f>
        <v>Learning from the experts: From diagnostic expert systems to machine learning diagnosis models</v>
      </c>
      <c r="B43" t="str">
        <f ca="1">IF(ISBLANK(A43), "", VLOOKUP(A43,'Annotated Papers'!42:1081,2,FALSE))</f>
        <v>ML4H</v>
      </c>
      <c r="C43" s="24">
        <f ca="1">IF(ISBLANK(A43), "", VLOOKUP(A43,'Annotated Papers'!42:1081,5,FALSE))</f>
        <v>0</v>
      </c>
      <c r="D43">
        <f ca="1">IF(ISBLANK(A43), "", IF(COUNTIF('Annotated Papers'!A:A,A43)&gt;1,1,0))</f>
        <v>1</v>
      </c>
      <c r="E43">
        <f ca="1">IF(ISBLANK(A43), "", IF(SUMIFS('Annotated Papers'!G:G, 'Annotated Papers'!A:A,A43)&gt;0,1,0))</f>
        <v>1</v>
      </c>
      <c r="F43">
        <f ca="1">IF(ISBLANK(A43), "", IF(SUMIFS('Annotated Papers'!H:H, 'Annotated Papers'!A:A,A43)&gt;0,1,0))</f>
        <v>1</v>
      </c>
      <c r="G43" t="e">
        <f ca="1">IF(ISBLANK(A43), "", IF(SUMIFS('Annotated Papers'!I:I, 'Annotated Papers'!A:A,A43)&gt;0,1,0))</f>
        <v>#NAME?</v>
      </c>
      <c r="H43">
        <f ca="1">IF(ISBLANK(A43), "", IF(SUMIFS('Annotated Papers'!L:L, 'Annotated Papers'!A:A,A43)&gt;0,1,0))</f>
        <v>0</v>
      </c>
      <c r="I43" s="24">
        <f ca="1">IF(ISBLANK(A43), "", VLOOKUP(A43,'Annotated Papers'!42:1081,4,FALSE))</f>
        <v>0</v>
      </c>
    </row>
    <row r="44" spans="1:9" ht="14">
      <c r="A44" s="25" t="str">
        <f ca="1">IFERROR(__xludf.DUMMYFUNCTION("""COMPUTED_VALUE"""),"Effective Use of Bidirectional Language Modeling for Medical Named Entity Recognition")</f>
        <v>Effective Use of Bidirectional Language Modeling for Medical Named Entity Recognition</v>
      </c>
      <c r="B44" t="str">
        <f ca="1">IF(ISBLANK(A44), "", VLOOKUP(A44,'Annotated Papers'!43:1082,2,FALSE))</f>
        <v>ML4H</v>
      </c>
      <c r="C44" s="24">
        <f ca="1">IF(ISBLANK(A44), "", VLOOKUP(A44,'Annotated Papers'!43:1082,5,FALSE))</f>
        <v>0</v>
      </c>
      <c r="D44">
        <f ca="1">IF(ISBLANK(A44), "", IF(COUNTIF('Annotated Papers'!A:A,A44)&gt;1,1,0))</f>
        <v>1</v>
      </c>
      <c r="E44">
        <f ca="1">IF(ISBLANK(A44), "", IF(SUMIFS('Annotated Papers'!G:G, 'Annotated Papers'!A:A,A44)&gt;0,1,0))</f>
        <v>0</v>
      </c>
      <c r="F44">
        <f ca="1">IF(ISBLANK(A44), "", IF(SUMIFS('Annotated Papers'!H:H, 'Annotated Papers'!A:A,A44)&gt;0,1,0))</f>
        <v>1</v>
      </c>
      <c r="G44" t="e">
        <f ca="1">IF(ISBLANK(A44), "", IF(SUMIFS('Annotated Papers'!I:I, 'Annotated Papers'!A:A,A44)&gt;0,1,0))</f>
        <v>#NAME?</v>
      </c>
      <c r="H44">
        <f ca="1">IF(ISBLANK(A44), "", IF(SUMIFS('Annotated Papers'!L:L, 'Annotated Papers'!A:A,A44)&gt;0,1,0))</f>
        <v>0</v>
      </c>
      <c r="I44" s="24">
        <f ca="1">IF(ISBLANK(A44), "", VLOOKUP(A44,'Annotated Papers'!43:1082,4,FALSE))</f>
        <v>0</v>
      </c>
    </row>
    <row r="45" spans="1:9" ht="14">
      <c r="A45" s="26" t="str">
        <f ca="1">IFERROR(__xludf.DUMMYFUNCTION("""COMPUTED_VALUE"""),"A Domain Guided CNN Architecture for Predicting Age from Structural Brain Images")</f>
        <v>A Domain Guided CNN Architecture for Predicting Age from Structural Brain Images</v>
      </c>
      <c r="B45" t="str">
        <f ca="1">IF(ISBLANK(A45), "", VLOOKUP(A45,'Annotated Papers'!44:1083,2,FALSE))</f>
        <v>ML4H</v>
      </c>
      <c r="C45" s="24">
        <f ca="1">IF(ISBLANK(A45), "", VLOOKUP(A45,'Annotated Papers'!44:1083,5,FALSE))</f>
        <v>1</v>
      </c>
      <c r="D45">
        <f ca="1">IF(ISBLANK(A45), "", IF(COUNTIF('Annotated Papers'!A:A,A45)&gt;1,1,0))</f>
        <v>0</v>
      </c>
      <c r="E45">
        <f ca="1">IF(ISBLANK(A45), "", IF(SUMIFS('Annotated Papers'!G:G, 'Annotated Papers'!A:A,A45)&gt;0,1,0))</f>
        <v>1</v>
      </c>
      <c r="F45">
        <f ca="1">IF(ISBLANK(A45), "", IF(SUMIFS('Annotated Papers'!H:H, 'Annotated Papers'!A:A,A45)&gt;0,1,0))</f>
        <v>1</v>
      </c>
      <c r="G45" t="e">
        <f ca="1">IF(ISBLANK(A45), "", IF(SUMIFS('Annotated Papers'!I:I, 'Annotated Papers'!A:A,A45)&gt;0,1,0))</f>
        <v>#NAME?</v>
      </c>
      <c r="H45">
        <f ca="1">IF(ISBLANK(A45), "", IF(SUMIFS('Annotated Papers'!L:L, 'Annotated Papers'!A:A,A45)&gt;0,1,0))</f>
        <v>1</v>
      </c>
      <c r="I45" s="24">
        <f ca="1">IF(ISBLANK(A45), "", VLOOKUP(A45,'Annotated Papers'!44:1083,4,FALSE))</f>
        <v>0</v>
      </c>
    </row>
    <row r="46" spans="1:9" ht="14">
      <c r="A46" s="25" t="str">
        <f ca="1">IFERROR(__xludf.DUMMYFUNCTION("""COMPUTED_VALUE"""),"Phenotyping Endometriosis through Mixed Membership Models of Self-Tracking Data")</f>
        <v>Phenotyping Endometriosis through Mixed Membership Models of Self-Tracking Data</v>
      </c>
      <c r="B46" t="str">
        <f ca="1">IF(ISBLANK(A46), "", VLOOKUP(A46,'Annotated Papers'!45:1084,2,FALSE))</f>
        <v>ML4H</v>
      </c>
      <c r="C46" s="24">
        <f ca="1">IF(ISBLANK(A46), "", VLOOKUP(A46,'Annotated Papers'!45:1084,5,FALSE))</f>
        <v>0</v>
      </c>
      <c r="D46">
        <f ca="1">IF(ISBLANK(A46), "", IF(COUNTIF('Annotated Papers'!A:A,A46)&gt;1,1,0))</f>
        <v>0</v>
      </c>
      <c r="E46">
        <f ca="1">IF(ISBLANK(A46), "", IF(SUMIFS('Annotated Papers'!G:G, 'Annotated Papers'!A:A,A46)&gt;0,1,0))</f>
        <v>1</v>
      </c>
      <c r="F46">
        <f ca="1">IF(ISBLANK(A46), "", IF(SUMIFS('Annotated Papers'!H:H, 'Annotated Papers'!A:A,A46)&gt;0,1,0))</f>
        <v>0</v>
      </c>
      <c r="G46" t="e">
        <f ca="1">IF(ISBLANK(A46), "", IF(SUMIFS('Annotated Papers'!I:I, 'Annotated Papers'!A:A,A46)&gt;0,1,0))</f>
        <v>#NAME?</v>
      </c>
      <c r="H46">
        <f ca="1">IF(ISBLANK(A46), "", IF(SUMIFS('Annotated Papers'!L:L, 'Annotated Papers'!A:A,A46)&gt;0,1,0))</f>
        <v>1</v>
      </c>
      <c r="I46" s="24">
        <f ca="1">IF(ISBLANK(A46), "", VLOOKUP(A46,'Annotated Papers'!45:1084,4,FALSE))</f>
        <v>0</v>
      </c>
    </row>
    <row r="47" spans="1:9" ht="14">
      <c r="A47" s="26" t="str">
        <f ca="1">IFERROR(__xludf.DUMMYFUNCTION("""COMPUTED_VALUE"""),"Preference Learning in Assistive Robotics: Observational Repeated Inverse Reinforcement Learning")</f>
        <v>Preference Learning in Assistive Robotics: Observational Repeated Inverse Reinforcement Learning</v>
      </c>
      <c r="B47" t="str">
        <f ca="1">IF(ISBLANK(A47), "", VLOOKUP(A47,'Annotated Papers'!46:1085,2,FALSE))</f>
        <v>ML4H</v>
      </c>
      <c r="C47" s="24">
        <f ca="1">IF(ISBLANK(A47), "", VLOOKUP(A47,'Annotated Papers'!46:1085,5,FALSE))</f>
        <v>0</v>
      </c>
      <c r="D47">
        <f ca="1">IF(ISBLANK(A47), "", IF(COUNTIF('Annotated Papers'!A:A,A47)&gt;1,1,0))</f>
        <v>0</v>
      </c>
      <c r="E47">
        <f ca="1">IF(ISBLANK(A47), "", IF(SUMIFS('Annotated Papers'!G:G, 'Annotated Papers'!A:A,A47)&gt;0,1,0))</f>
        <v>1</v>
      </c>
      <c r="F47">
        <f ca="1">IF(ISBLANK(A47), "", IF(SUMIFS('Annotated Papers'!H:H, 'Annotated Papers'!A:A,A47)&gt;0,1,0))</f>
        <v>0</v>
      </c>
      <c r="G47" t="e">
        <f ca="1">IF(ISBLANK(A47), "", IF(SUMIFS('Annotated Papers'!I:I, 'Annotated Papers'!A:A,A47)&gt;0,1,0))</f>
        <v>#NAME?</v>
      </c>
      <c r="H47">
        <f ca="1">IF(ISBLANK(A47), "", IF(SUMIFS('Annotated Papers'!L:L, 'Annotated Papers'!A:A,A47)&gt;0,1,0))</f>
        <v>0</v>
      </c>
      <c r="I47" s="24">
        <f ca="1">IF(ISBLANK(A47), "", VLOOKUP(A47,'Annotated Papers'!46:1085,4,FALSE))</f>
        <v>0</v>
      </c>
    </row>
    <row r="48" spans="1:9" ht="14">
      <c r="A48" s="26" t="str">
        <f ca="1">IFERROR(__xludf.DUMMYFUNCTION("""COMPUTED_VALUE"""),"Reinforcement Learning with Action-Derived Rewards for Chemotherapy and Clinical Trial Dosing Regimen Selection")</f>
        <v>Reinforcement Learning with Action-Derived Rewards for Chemotherapy and Clinical Trial Dosing Regimen Selection</v>
      </c>
      <c r="B48" t="str">
        <f ca="1">IF(ISBLANK(A48), "", VLOOKUP(A48,'Annotated Papers'!47:1086,2,FALSE))</f>
        <v>ML4H</v>
      </c>
      <c r="C48" s="24">
        <f ca="1">IF(ISBLANK(A48), "", VLOOKUP(A48,'Annotated Papers'!47:1086,5,FALSE))</f>
        <v>0</v>
      </c>
      <c r="D48">
        <f ca="1">IF(ISBLANK(A48), "", IF(COUNTIF('Annotated Papers'!A:A,A48)&gt;1,1,0))</f>
        <v>0</v>
      </c>
      <c r="E48">
        <f ca="1">IF(ISBLANK(A48), "", IF(SUMIFS('Annotated Papers'!G:G, 'Annotated Papers'!A:A,A48)&gt;0,1,0))</f>
        <v>0</v>
      </c>
      <c r="F48">
        <f ca="1">IF(ISBLANK(A48), "", IF(SUMIFS('Annotated Papers'!H:H, 'Annotated Papers'!A:A,A48)&gt;0,1,0))</f>
        <v>0</v>
      </c>
      <c r="G48" t="e">
        <f ca="1">IF(ISBLANK(A48), "", IF(SUMIFS('Annotated Papers'!I:I, 'Annotated Papers'!A:A,A48)&gt;0,1,0))</f>
        <v>#NAME?</v>
      </c>
      <c r="H48">
        <f ca="1">IF(ISBLANK(A48), "", IF(SUMIFS('Annotated Papers'!L:L, 'Annotated Papers'!A:A,A48)&gt;0,1,0))</f>
        <v>1</v>
      </c>
      <c r="I48" s="24">
        <f ca="1">IF(ISBLANK(A48), "", VLOOKUP(A48,'Annotated Papers'!47:1086,4,FALSE))</f>
        <v>0</v>
      </c>
    </row>
    <row r="49" spans="1:9" ht="14">
      <c r="A49" s="25" t="str">
        <f ca="1">IFERROR(__xludf.DUMMYFUNCTION("""COMPUTED_VALUE"""),"Multi-Label Learning from Medical Plain Text with Convolutional Residual Models")</f>
        <v>Multi-Label Learning from Medical Plain Text with Convolutional Residual Models</v>
      </c>
      <c r="B49" t="str">
        <f ca="1">IF(ISBLANK(A49), "", VLOOKUP(A49,'Annotated Papers'!48:1087,2,FALSE))</f>
        <v>ML4H</v>
      </c>
      <c r="C49" s="24">
        <f ca="1">IF(ISBLANK(A49), "", VLOOKUP(A49,'Annotated Papers'!48:1087,5,FALSE))</f>
        <v>0</v>
      </c>
      <c r="D49">
        <f ca="1">IF(ISBLANK(A49), "", IF(COUNTIF('Annotated Papers'!A:A,A49)&gt;1,1,0))</f>
        <v>0</v>
      </c>
      <c r="E49">
        <f ca="1">IF(ISBLANK(A49), "", IF(SUMIFS('Annotated Papers'!G:G, 'Annotated Papers'!A:A,A49)&gt;0,1,0))</f>
        <v>1</v>
      </c>
      <c r="F49">
        <f ca="1">IF(ISBLANK(A49), "", IF(SUMIFS('Annotated Papers'!H:H, 'Annotated Papers'!A:A,A49)&gt;0,1,0))</f>
        <v>0</v>
      </c>
      <c r="G49" t="e">
        <f ca="1">IF(ISBLANK(A49), "", IF(SUMIFS('Annotated Papers'!I:I, 'Annotated Papers'!A:A,A49)&gt;0,1,0))</f>
        <v>#NAME?</v>
      </c>
      <c r="H49">
        <f ca="1">IF(ISBLANK(A49), "", IF(SUMIFS('Annotated Papers'!L:L, 'Annotated Papers'!A:A,A49)&gt;0,1,0))</f>
        <v>1</v>
      </c>
      <c r="I49" s="24">
        <f ca="1">IF(ISBLANK(A49), "", VLOOKUP(A49,'Annotated Papers'!48:1087,4,FALSE))</f>
        <v>0</v>
      </c>
    </row>
    <row r="50" spans="1:9" ht="14">
      <c r="A50" s="26" t="str">
        <f ca="1">IFERROR(__xludf.DUMMYFUNCTION("""COMPUTED_VALUE"""),"Chronic Disease Prediction Using Medical Notes")</f>
        <v>Chronic Disease Prediction Using Medical Notes</v>
      </c>
      <c r="B50" t="str">
        <f ca="1">IF(ISBLANK(A50), "", VLOOKUP(A50,'Annotated Papers'!49:1088,2,FALSE))</f>
        <v>ML4H</v>
      </c>
      <c r="C50" s="24">
        <f ca="1">IF(ISBLANK(A50), "", VLOOKUP(A50,'Annotated Papers'!49:1088,5,FALSE))</f>
        <v>1</v>
      </c>
      <c r="D50">
        <f ca="1">IF(ISBLANK(A50), "", IF(COUNTIF('Annotated Papers'!A:A,A50)&gt;1,1,0))</f>
        <v>0</v>
      </c>
      <c r="E50">
        <f ca="1">IF(ISBLANK(A50), "", IF(SUMIFS('Annotated Papers'!G:G, 'Annotated Papers'!A:A,A50)&gt;0,1,0))</f>
        <v>1</v>
      </c>
      <c r="F50">
        <f ca="1">IF(ISBLANK(A50), "", IF(SUMIFS('Annotated Papers'!H:H, 'Annotated Papers'!A:A,A50)&gt;0,1,0))</f>
        <v>0</v>
      </c>
      <c r="G50" t="e">
        <f ca="1">IF(ISBLANK(A50), "", IF(SUMIFS('Annotated Papers'!I:I, 'Annotated Papers'!A:A,A50)&gt;0,1,0))</f>
        <v>#NAME?</v>
      </c>
      <c r="H50">
        <f ca="1">IF(ISBLANK(A50), "", IF(SUMIFS('Annotated Papers'!L:L, 'Annotated Papers'!A:A,A50)&gt;0,1,0))</f>
        <v>0</v>
      </c>
      <c r="I50" s="24">
        <f ca="1">IF(ISBLANK(A50), "", VLOOKUP(A50,'Annotated Papers'!49:1088,4,FALSE))</f>
        <v>0</v>
      </c>
    </row>
    <row r="51" spans="1:9" ht="14">
      <c r="A51" s="26" t="str">
        <f ca="1">IFERROR(__xludf.DUMMYFUNCTION("""COMPUTED_VALUE"""),"Piecewise-constant parametric approximations for survival learning:")</f>
        <v>Piecewise-constant parametric approximations for survival learning:</v>
      </c>
      <c r="B51" t="str">
        <f ca="1">IF(ISBLANK(A51), "", VLOOKUP(A51,'Annotated Papers'!50:1089,2,FALSE))</f>
        <v>ML4H</v>
      </c>
      <c r="C51" s="24">
        <f ca="1">IF(ISBLANK(A51), "", VLOOKUP(A51,'Annotated Papers'!50:1089,5,FALSE))</f>
        <v>0</v>
      </c>
      <c r="D51">
        <f ca="1">IF(ISBLANK(A51), "", IF(COUNTIF('Annotated Papers'!A:A,A51)&gt;1,1,0))</f>
        <v>0</v>
      </c>
      <c r="E51">
        <f ca="1">IF(ISBLANK(A51), "", IF(SUMIFS('Annotated Papers'!G:G, 'Annotated Papers'!A:A,A51)&gt;0,1,0))</f>
        <v>1</v>
      </c>
      <c r="F51">
        <f ca="1">IF(ISBLANK(A51), "", IF(SUMIFS('Annotated Papers'!H:H, 'Annotated Papers'!A:A,A51)&gt;0,1,0))</f>
        <v>1</v>
      </c>
      <c r="G51" t="e">
        <f ca="1">IF(ISBLANK(A51), "", IF(SUMIFS('Annotated Papers'!I:I, 'Annotated Papers'!A:A,A51)&gt;0,1,0))</f>
        <v>#NAME?</v>
      </c>
      <c r="H51">
        <f ca="1">IF(ISBLANK(A51), "", IF(SUMIFS('Annotated Papers'!L:L, 'Annotated Papers'!A:A,A51)&gt;0,1,0))</f>
        <v>1</v>
      </c>
      <c r="I51" s="24">
        <f ca="1">IF(ISBLANK(A51), "", VLOOKUP(A51,'Annotated Papers'!50:1089,4,FALSE))</f>
        <v>0</v>
      </c>
    </row>
    <row r="52" spans="1:9" ht="14">
      <c r="A52" s="26" t="str">
        <f ca="1">IFERROR(__xludf.DUMMYFUNCTION("""COMPUTED_VALUE"""),"Spatially-Continuous Plantar Pressure Reconstruction Using Compressive Sensing")</f>
        <v>Spatially-Continuous Plantar Pressure Reconstruction Using Compressive Sensing</v>
      </c>
      <c r="B52" t="str">
        <f ca="1">IF(ISBLANK(A52), "", VLOOKUP(A52,'Annotated Papers'!51:1090,2,FALSE))</f>
        <v>ML4H</v>
      </c>
      <c r="C52" s="24">
        <f ca="1">IF(ISBLANK(A52), "", VLOOKUP(A52,'Annotated Papers'!51:1090,5,FALSE))</f>
        <v>0</v>
      </c>
      <c r="D52">
        <f ca="1">IF(ISBLANK(A52), "", IF(COUNTIF('Annotated Papers'!A:A,A52)&gt;1,1,0))</f>
        <v>0</v>
      </c>
      <c r="E52">
        <f ca="1">IF(ISBLANK(A52), "", IF(SUMIFS('Annotated Papers'!G:G, 'Annotated Papers'!A:A,A52)&gt;0,1,0))</f>
        <v>1</v>
      </c>
      <c r="F52">
        <f ca="1">IF(ISBLANK(A52), "", IF(SUMIFS('Annotated Papers'!H:H, 'Annotated Papers'!A:A,A52)&gt;0,1,0))</f>
        <v>0</v>
      </c>
      <c r="G52" t="e">
        <f ca="1">IF(ISBLANK(A52), "", IF(SUMIFS('Annotated Papers'!I:I, 'Annotated Papers'!A:A,A52)&gt;0,1,0))</f>
        <v>#NAME?</v>
      </c>
      <c r="H52">
        <f ca="1">IF(ISBLANK(A52), "", IF(SUMIFS('Annotated Papers'!L:L, 'Annotated Papers'!A:A,A52)&gt;0,1,0))</f>
        <v>0</v>
      </c>
      <c r="I52" s="24">
        <f ca="1">IF(ISBLANK(A52), "", VLOOKUP(A52,'Annotated Papers'!51:1090,4,FALSE))</f>
        <v>0</v>
      </c>
    </row>
    <row r="53" spans="1:9" ht="14">
      <c r="A53" s="26" t="str">
        <f ca="1">IFERROR(__xludf.DUMMYFUNCTION("""COMPUTED_VALUE"""),"Classifying Lung Cancer Severity with Ensemble Machine Learning in Health Care Claims Data:")</f>
        <v>Classifying Lung Cancer Severity with Ensemble Machine Learning in Health Care Claims Data:</v>
      </c>
      <c r="B53" t="str">
        <f ca="1">IF(ISBLANK(A53), "", VLOOKUP(A53,'Annotated Papers'!52:1091,2,FALSE))</f>
        <v>ML4H</v>
      </c>
      <c r="C53" s="24">
        <f ca="1">IF(ISBLANK(A53), "", VLOOKUP(A53,'Annotated Papers'!52:1091,5,FALSE))</f>
        <v>0</v>
      </c>
      <c r="D53">
        <f ca="1">IF(ISBLANK(A53), "", IF(COUNTIF('Annotated Papers'!A:A,A53)&gt;1,1,0))</f>
        <v>0</v>
      </c>
      <c r="E53">
        <f ca="1">IF(ISBLANK(A53), "", IF(SUMIFS('Annotated Papers'!G:G, 'Annotated Papers'!A:A,A53)&gt;0,1,0))</f>
        <v>1</v>
      </c>
      <c r="F53">
        <f ca="1">IF(ISBLANK(A53), "", IF(SUMIFS('Annotated Papers'!H:H, 'Annotated Papers'!A:A,A53)&gt;0,1,0))</f>
        <v>1</v>
      </c>
      <c r="G53" t="e">
        <f ca="1">IF(ISBLANK(A53), "", IF(SUMIFS('Annotated Papers'!I:I, 'Annotated Papers'!A:A,A53)&gt;0,1,0))</f>
        <v>#NAME?</v>
      </c>
      <c r="H53">
        <f ca="1">IF(ISBLANK(A53), "", IF(SUMIFS('Annotated Papers'!L:L, 'Annotated Papers'!A:A,A53)&gt;0,1,0))</f>
        <v>0</v>
      </c>
      <c r="I53" s="24">
        <f ca="1">IF(ISBLANK(A53), "", VLOOKUP(A53,'Annotated Papers'!52:1091,4,FALSE))</f>
        <v>0</v>
      </c>
    </row>
    <row r="54" spans="1:9" ht="14">
      <c r="A54" s="26" t="str">
        <f ca="1">IFERROR(__xludf.DUMMYFUNCTION("""COMPUTED_VALUE"""),"Predicting long-term mortality with first week post-operative data after Coronary Artery Bypass Grafting using Machine Learning model")</f>
        <v>Predicting long-term mortality with first week post-operative data after Coronary Artery Bypass Grafting using Machine Learning model</v>
      </c>
      <c r="B54" t="str">
        <f ca="1">IF(ISBLANK(A54), "", VLOOKUP(A54,'Annotated Papers'!53:1092,2,FALSE))</f>
        <v>ML4H</v>
      </c>
      <c r="C54" s="24">
        <f ca="1">IF(ISBLANK(A54), "", VLOOKUP(A54,'Annotated Papers'!53:1092,5,FALSE))</f>
        <v>0</v>
      </c>
      <c r="D54">
        <f ca="1">IF(ISBLANK(A54), "", IF(COUNTIF('Annotated Papers'!A:A,A54)&gt;1,1,0))</f>
        <v>0</v>
      </c>
      <c r="E54">
        <f ca="1">IF(ISBLANK(A54), "", IF(SUMIFS('Annotated Papers'!G:G, 'Annotated Papers'!A:A,A54)&gt;0,1,0))</f>
        <v>1</v>
      </c>
      <c r="F54">
        <f ca="1">IF(ISBLANK(A54), "", IF(SUMIFS('Annotated Papers'!H:H, 'Annotated Papers'!A:A,A54)&gt;0,1,0))</f>
        <v>0</v>
      </c>
      <c r="G54" t="e">
        <f ca="1">IF(ISBLANK(A54), "", IF(SUMIFS('Annotated Papers'!I:I, 'Annotated Papers'!A:A,A54)&gt;0,1,0))</f>
        <v>#NAME?</v>
      </c>
      <c r="H54">
        <f ca="1">IF(ISBLANK(A54), "", IF(SUMIFS('Annotated Papers'!L:L, 'Annotated Papers'!A:A,A54)&gt;0,1,0))</f>
        <v>1</v>
      </c>
      <c r="I54" s="24">
        <f ca="1">IF(ISBLANK(A54), "", VLOOKUP(A54,'Annotated Papers'!53:1092,4,FALSE))</f>
        <v>0</v>
      </c>
    </row>
    <row r="55" spans="1:9" ht="14">
      <c r="A55" s="26" t="str">
        <f ca="1">IFERROR(__xludf.DUMMYFUNCTION("""COMPUTED_VALUE"""),"ShortFuse: Biomedical Time Series Representations in the Presence of Structured Information:")</f>
        <v>ShortFuse: Biomedical Time Series Representations in the Presence of Structured Information:</v>
      </c>
      <c r="B55" t="str">
        <f ca="1">IF(ISBLANK(A55), "", VLOOKUP(A55,'Annotated Papers'!54:1093,2,FALSE))</f>
        <v>ML4H</v>
      </c>
      <c r="C55" s="24">
        <f ca="1">IF(ISBLANK(A55), "", VLOOKUP(A55,'Annotated Papers'!54:1093,5,FALSE))</f>
        <v>0</v>
      </c>
      <c r="D55">
        <f ca="1">IF(ISBLANK(A55), "", IF(COUNTIF('Annotated Papers'!A:A,A55)&gt;1,1,0))</f>
        <v>0</v>
      </c>
      <c r="E55">
        <f ca="1">IF(ISBLANK(A55), "", IF(SUMIFS('Annotated Papers'!G:G, 'Annotated Papers'!A:A,A55)&gt;0,1,0))</f>
        <v>1</v>
      </c>
      <c r="F55">
        <f ca="1">IF(ISBLANK(A55), "", IF(SUMIFS('Annotated Papers'!H:H, 'Annotated Papers'!A:A,A55)&gt;0,1,0))</f>
        <v>0</v>
      </c>
      <c r="G55" t="e">
        <f ca="1">IF(ISBLANK(A55), "", IF(SUMIFS('Annotated Papers'!I:I, 'Annotated Papers'!A:A,A55)&gt;0,1,0))</f>
        <v>#NAME?</v>
      </c>
      <c r="H55">
        <f ca="1">IF(ISBLANK(A55), "", IF(SUMIFS('Annotated Papers'!L:L, 'Annotated Papers'!A:A,A55)&gt;0,1,0))</f>
        <v>0</v>
      </c>
      <c r="I55" s="24">
        <f ca="1">IF(ISBLANK(A55), "", VLOOKUP(A55,'Annotated Papers'!54:1093,4,FALSE))</f>
        <v>0</v>
      </c>
    </row>
    <row r="56" spans="1:9" ht="14">
      <c r="A56" s="26" t="str">
        <f ca="1">IFERROR(__xludf.DUMMYFUNCTION("""COMPUTED_VALUE"""),"Towards Vision-based Smart Hospitals: A System for Tracking and Monitoring Hand Hygiene Compliance")</f>
        <v>Towards Vision-based Smart Hospitals: A System for Tracking and Monitoring Hand Hygiene Compliance</v>
      </c>
      <c r="B56" t="str">
        <f ca="1">IF(ISBLANK(A56), "", VLOOKUP(A56,'Annotated Papers'!55:1094,2,FALSE))</f>
        <v>ML4H</v>
      </c>
      <c r="C56" s="24">
        <f ca="1">IF(ISBLANK(A56), "", VLOOKUP(A56,'Annotated Papers'!55:1094,5,FALSE))</f>
        <v>0</v>
      </c>
      <c r="D56">
        <f ca="1">IF(ISBLANK(A56), "", IF(COUNTIF('Annotated Papers'!A:A,A56)&gt;1,1,0))</f>
        <v>0</v>
      </c>
      <c r="E56">
        <f ca="1">IF(ISBLANK(A56), "", IF(SUMIFS('Annotated Papers'!G:G, 'Annotated Papers'!A:A,A56)&gt;0,1,0))</f>
        <v>1</v>
      </c>
      <c r="F56">
        <f ca="1">IF(ISBLANK(A56), "", IF(SUMIFS('Annotated Papers'!H:H, 'Annotated Papers'!A:A,A56)&gt;0,1,0))</f>
        <v>0</v>
      </c>
      <c r="G56" t="e">
        <f ca="1">IF(ISBLANK(A56), "", IF(SUMIFS('Annotated Papers'!I:I, 'Annotated Papers'!A:A,A56)&gt;0,1,0))</f>
        <v>#NAME?</v>
      </c>
      <c r="H56">
        <f ca="1">IF(ISBLANK(A56), "", IF(SUMIFS('Annotated Papers'!L:L, 'Annotated Papers'!A:A,A56)&gt;0,1,0))</f>
        <v>0</v>
      </c>
      <c r="I56" s="24">
        <f ca="1">IF(ISBLANK(A56), "", VLOOKUP(A56,'Annotated Papers'!55:1094,4,FALSE))</f>
        <v>0</v>
      </c>
    </row>
    <row r="57" spans="1:9" ht="14">
      <c r="A57" s="26" t="str">
        <f ca="1">IFERROR(__xludf.DUMMYFUNCTION("""COMPUTED_VALUE"""),"Surgeon Technical Skill Assessment using Computer Vision based Analysis")</f>
        <v>Surgeon Technical Skill Assessment using Computer Vision based Analysis</v>
      </c>
      <c r="B57" t="str">
        <f ca="1">IF(ISBLANK(A57), "", VLOOKUP(A57,'Annotated Papers'!56:1095,2,FALSE))</f>
        <v>ML4H</v>
      </c>
      <c r="C57" s="24">
        <f ca="1">IF(ISBLANK(A57), "", VLOOKUP(A57,'Annotated Papers'!56:1095,5,FALSE))</f>
        <v>0</v>
      </c>
      <c r="D57">
        <f ca="1">IF(ISBLANK(A57), "", IF(COUNTIF('Annotated Papers'!A:A,A57)&gt;1,1,0))</f>
        <v>0</v>
      </c>
      <c r="E57">
        <f ca="1">IF(ISBLANK(A57), "", IF(SUMIFS('Annotated Papers'!G:G, 'Annotated Papers'!A:A,A57)&gt;0,1,0))</f>
        <v>1</v>
      </c>
      <c r="F57">
        <f ca="1">IF(ISBLANK(A57), "", IF(SUMIFS('Annotated Papers'!H:H, 'Annotated Papers'!A:A,A57)&gt;0,1,0))</f>
        <v>0</v>
      </c>
      <c r="G57" t="e">
        <f ca="1">IF(ISBLANK(A57), "", IF(SUMIFS('Annotated Papers'!I:I, 'Annotated Papers'!A:A,A57)&gt;0,1,0))</f>
        <v>#NAME?</v>
      </c>
      <c r="H57">
        <f ca="1">IF(ISBLANK(A57), "", IF(SUMIFS('Annotated Papers'!L:L, 'Annotated Papers'!A:A,A57)&gt;0,1,0))</f>
        <v>0</v>
      </c>
      <c r="I57" s="24">
        <f ca="1">IF(ISBLANK(A57), "", VLOOKUP(A57,'Annotated Papers'!56:1095,4,FALSE))</f>
        <v>0</v>
      </c>
    </row>
    <row r="58" spans="1:9" ht="14">
      <c r="A58" s="26" t="str">
        <f ca="1">IFERROR(__xludf.DUMMYFUNCTION("""COMPUTED_VALUE"""),"Predicting Surgery Duration with Neural Heteroscedastic Regression:")</f>
        <v>Predicting Surgery Duration with Neural Heteroscedastic Regression:</v>
      </c>
      <c r="B58" t="str">
        <f ca="1">IF(ISBLANK(A58), "", VLOOKUP(A58,'Annotated Papers'!57:1096,2,FALSE))</f>
        <v>ML4H</v>
      </c>
      <c r="C58" s="24">
        <f ca="1">IF(ISBLANK(A58), "", VLOOKUP(A58,'Annotated Papers'!57:1096,5,FALSE))</f>
        <v>0</v>
      </c>
      <c r="D58">
        <f ca="1">IF(ISBLANK(A58), "", IF(COUNTIF('Annotated Papers'!A:A,A58)&gt;1,1,0))</f>
        <v>0</v>
      </c>
      <c r="E58">
        <f ca="1">IF(ISBLANK(A58), "", IF(SUMIFS('Annotated Papers'!G:G, 'Annotated Papers'!A:A,A58)&gt;0,1,0))</f>
        <v>1</v>
      </c>
      <c r="F58">
        <f ca="1">IF(ISBLANK(A58), "", IF(SUMIFS('Annotated Papers'!H:H, 'Annotated Papers'!A:A,A58)&gt;0,1,0))</f>
        <v>0</v>
      </c>
      <c r="G58" t="e">
        <f ca="1">IF(ISBLANK(A58), "", IF(SUMIFS('Annotated Papers'!I:I, 'Annotated Papers'!A:A,A58)&gt;0,1,0))</f>
        <v>#NAME?</v>
      </c>
      <c r="H58">
        <f ca="1">IF(ISBLANK(A58), "", IF(SUMIFS('Annotated Papers'!L:L, 'Annotated Papers'!A:A,A58)&gt;0,1,0))</f>
        <v>0</v>
      </c>
      <c r="I58" s="24">
        <f ca="1">IF(ISBLANK(A58), "", VLOOKUP(A58,'Annotated Papers'!57:1096,4,FALSE))</f>
        <v>0</v>
      </c>
    </row>
    <row r="59" spans="1:9" ht="14">
      <c r="A59" s="26" t="str">
        <f ca="1">IFERROR(__xludf.DUMMYFUNCTION("""COMPUTED_VALUE"""),"Temporal prediction of multiple sclerosis evolution from patient-centered outcomes")</f>
        <v>Temporal prediction of multiple sclerosis evolution from patient-centered outcomes</v>
      </c>
      <c r="B59" t="str">
        <f ca="1">IF(ISBLANK(A59), "", VLOOKUP(A59,'Annotated Papers'!58:1097,2,FALSE))</f>
        <v>ML4H</v>
      </c>
      <c r="C59" s="24">
        <f ca="1">IF(ISBLANK(A59), "", VLOOKUP(A59,'Annotated Papers'!58:1097,5,FALSE))</f>
        <v>0</v>
      </c>
      <c r="D59">
        <f ca="1">IF(ISBLANK(A59), "", IF(COUNTIF('Annotated Papers'!A:A,A59)&gt;1,1,0))</f>
        <v>0</v>
      </c>
      <c r="E59">
        <f ca="1">IF(ISBLANK(A59), "", IF(SUMIFS('Annotated Papers'!G:G, 'Annotated Papers'!A:A,A59)&gt;0,1,0))</f>
        <v>1</v>
      </c>
      <c r="F59">
        <f ca="1">IF(ISBLANK(A59), "", IF(SUMIFS('Annotated Papers'!H:H, 'Annotated Papers'!A:A,A59)&gt;0,1,0))</f>
        <v>0</v>
      </c>
      <c r="G59" t="e">
        <f ca="1">IF(ISBLANK(A59), "", IF(SUMIFS('Annotated Papers'!I:I, 'Annotated Papers'!A:A,A59)&gt;0,1,0))</f>
        <v>#NAME?</v>
      </c>
      <c r="H59">
        <f ca="1">IF(ISBLANK(A59), "", IF(SUMIFS('Annotated Papers'!L:L, 'Annotated Papers'!A:A,A59)&gt;0,1,0))</f>
        <v>1</v>
      </c>
      <c r="I59" s="24">
        <f ca="1">IF(ISBLANK(A59), "", VLOOKUP(A59,'Annotated Papers'!58:1097,4,FALSE))</f>
        <v>0</v>
      </c>
    </row>
    <row r="60" spans="1:9" ht="14">
      <c r="A60" s="26" t="str">
        <f ca="1">IFERROR(__xludf.DUMMYFUNCTION("""COMPUTED_VALUE"""),"Clustering Patients with Tensor Decomposition")</f>
        <v>Clustering Patients with Tensor Decomposition</v>
      </c>
      <c r="B60" t="str">
        <f ca="1">IF(ISBLANK(A60), "", VLOOKUP(A60,'Annotated Papers'!59:1098,2,FALSE))</f>
        <v>ML4H</v>
      </c>
      <c r="C60" s="24">
        <f ca="1">IF(ISBLANK(A60), "", VLOOKUP(A60,'Annotated Papers'!59:1098,5,FALSE))</f>
        <v>0</v>
      </c>
      <c r="D60">
        <f ca="1">IF(ISBLANK(A60), "", IF(COUNTIF('Annotated Papers'!A:A,A60)&gt;1,1,0))</f>
        <v>0</v>
      </c>
      <c r="E60">
        <f ca="1">IF(ISBLANK(A60), "", IF(SUMIFS('Annotated Papers'!G:G, 'Annotated Papers'!A:A,A60)&gt;0,1,0))</f>
        <v>1</v>
      </c>
      <c r="F60">
        <f ca="1">IF(ISBLANK(A60), "", IF(SUMIFS('Annotated Papers'!H:H, 'Annotated Papers'!A:A,A60)&gt;0,1,0))</f>
        <v>0</v>
      </c>
      <c r="G60" t="e">
        <f ca="1">IF(ISBLANK(A60), "", IF(SUMIFS('Annotated Papers'!I:I, 'Annotated Papers'!A:A,A60)&gt;0,1,0))</f>
        <v>#NAME?</v>
      </c>
      <c r="H60">
        <f ca="1">IF(ISBLANK(A60), "", IF(SUMIFS('Annotated Papers'!L:L, 'Annotated Papers'!A:A,A60)&gt;0,1,0))</f>
        <v>0</v>
      </c>
      <c r="I60" s="24">
        <f ca="1">IF(ISBLANK(A60), "", VLOOKUP(A60,'Annotated Papers'!59:1098,4,FALSE))</f>
        <v>0</v>
      </c>
    </row>
    <row r="61" spans="1:9" ht="14">
      <c r="A61" s="26" t="str">
        <f ca="1">IFERROR(__xludf.DUMMYFUNCTION("""COMPUTED_VALUE"""),"Continuous State-Space Models for Optimal Sepsis Treatment - a Deep Reinforcement Learning Approach:")</f>
        <v>Continuous State-Space Models for Optimal Sepsis Treatment - a Deep Reinforcement Learning Approach:</v>
      </c>
      <c r="B61" t="str">
        <f ca="1">IF(ISBLANK(A61), "", VLOOKUP(A61,'Annotated Papers'!60:1099,2,FALSE))</f>
        <v>ML4H</v>
      </c>
      <c r="C61" s="24">
        <f ca="1">IF(ISBLANK(A61), "", VLOOKUP(A61,'Annotated Papers'!60:1099,5,FALSE))</f>
        <v>0</v>
      </c>
      <c r="D61">
        <f ca="1">IF(ISBLANK(A61), "", IF(COUNTIF('Annotated Papers'!A:A,A61)&gt;1,1,0))</f>
        <v>0</v>
      </c>
      <c r="E61">
        <f ca="1">IF(ISBLANK(A61), "", IF(SUMIFS('Annotated Papers'!G:G, 'Annotated Papers'!A:A,A61)&gt;0,1,0))</f>
        <v>1</v>
      </c>
      <c r="F61">
        <f ca="1">IF(ISBLANK(A61), "", IF(SUMIFS('Annotated Papers'!H:H, 'Annotated Papers'!A:A,A61)&gt;0,1,0))</f>
        <v>1</v>
      </c>
      <c r="G61" t="e">
        <f ca="1">IF(ISBLANK(A61), "", IF(SUMIFS('Annotated Papers'!I:I, 'Annotated Papers'!A:A,A61)&gt;0,1,0))</f>
        <v>#NAME?</v>
      </c>
      <c r="H61">
        <f ca="1">IF(ISBLANK(A61), "", IF(SUMIFS('Annotated Papers'!L:L, 'Annotated Papers'!A:A,A61)&gt;0,1,0))</f>
        <v>1</v>
      </c>
      <c r="I61" s="24">
        <f ca="1">IF(ISBLANK(A61), "", VLOOKUP(A61,'Annotated Papers'!60:1099,4,FALSE))</f>
        <v>0</v>
      </c>
    </row>
    <row r="62" spans="1:9" ht="14">
      <c r="A62" s="26" t="str">
        <f ca="1">IFERROR(__xludf.DUMMYFUNCTION("""COMPUTED_VALUE"""),"Modeling Progression Free Survival in Breast Cancer with Tensorized Recurrent Neural Networks and Accelerated Failure Time Model")</f>
        <v>Modeling Progression Free Survival in Breast Cancer with Tensorized Recurrent Neural Networks and Accelerated Failure Time Model</v>
      </c>
      <c r="B62" t="str">
        <f ca="1">IF(ISBLANK(A62), "", VLOOKUP(A62,'Annotated Papers'!61:1100,2,FALSE))</f>
        <v>ML4H</v>
      </c>
      <c r="C62" s="24">
        <f ca="1">IF(ISBLANK(A62), "", VLOOKUP(A62,'Annotated Papers'!61:1100,5,FALSE))</f>
        <v>0</v>
      </c>
      <c r="D62">
        <f ca="1">IF(ISBLANK(A62), "", IF(COUNTIF('Annotated Papers'!A:A,A62)&gt;1,1,0))</f>
        <v>0</v>
      </c>
      <c r="E62">
        <f ca="1">IF(ISBLANK(A62), "", IF(SUMIFS('Annotated Papers'!G:G, 'Annotated Papers'!A:A,A62)&gt;0,1,0))</f>
        <v>1</v>
      </c>
      <c r="F62">
        <f ca="1">IF(ISBLANK(A62), "", IF(SUMIFS('Annotated Papers'!H:H, 'Annotated Papers'!A:A,A62)&gt;0,1,0))</f>
        <v>1</v>
      </c>
      <c r="G62" t="e">
        <f ca="1">IF(ISBLANK(A62), "", IF(SUMIFS('Annotated Papers'!I:I, 'Annotated Papers'!A:A,A62)&gt;0,1,0))</f>
        <v>#NAME?</v>
      </c>
      <c r="H62">
        <f ca="1">IF(ISBLANK(A62), "", IF(SUMIFS('Annotated Papers'!L:L, 'Annotated Papers'!A:A,A62)&gt;0,1,0))</f>
        <v>1</v>
      </c>
      <c r="I62" s="24">
        <f ca="1">IF(ISBLANK(A62), "", VLOOKUP(A62,'Annotated Papers'!61:1100,4,FALSE))</f>
        <v>0</v>
      </c>
    </row>
    <row r="63" spans="1:9" ht="14">
      <c r="A63" s="26" t="str">
        <f ca="1">IFERROR(__xludf.DUMMYFUNCTION("""COMPUTED_VALUE"""),"Patient Similarity Using Population Statistics and Multiple Kernel Learning")</f>
        <v>Patient Similarity Using Population Statistics and Multiple Kernel Learning</v>
      </c>
      <c r="B63" t="str">
        <f ca="1">IF(ISBLANK(A63), "", VLOOKUP(A63,'Annotated Papers'!62:1101,2,FALSE))</f>
        <v>ML4H</v>
      </c>
      <c r="C63" s="24">
        <f ca="1">IF(ISBLANK(A63), "", VLOOKUP(A63,'Annotated Papers'!62:1101,5,FALSE))</f>
        <v>0</v>
      </c>
      <c r="D63">
        <f ca="1">IF(ISBLANK(A63), "", IF(COUNTIF('Annotated Papers'!A:A,A63)&gt;1,1,0))</f>
        <v>0</v>
      </c>
      <c r="E63">
        <f ca="1">IF(ISBLANK(A63), "", IF(SUMIFS('Annotated Papers'!G:G, 'Annotated Papers'!A:A,A63)&gt;0,1,0))</f>
        <v>1</v>
      </c>
      <c r="F63">
        <f ca="1">IF(ISBLANK(A63), "", IF(SUMIFS('Annotated Papers'!H:H, 'Annotated Papers'!A:A,A63)&gt;0,1,0))</f>
        <v>1</v>
      </c>
      <c r="G63" t="e">
        <f ca="1">IF(ISBLANK(A63), "", IF(SUMIFS('Annotated Papers'!I:I, 'Annotated Papers'!A:A,A63)&gt;0,1,0))</f>
        <v>#NAME?</v>
      </c>
      <c r="H63">
        <f ca="1">IF(ISBLANK(A63), "", IF(SUMIFS('Annotated Papers'!L:L, 'Annotated Papers'!A:A,A63)&gt;0,1,0))</f>
        <v>1</v>
      </c>
      <c r="I63" s="24">
        <f ca="1">IF(ISBLANK(A63), "", VLOOKUP(A63,'Annotated Papers'!62:1101,4,FALSE))</f>
        <v>0</v>
      </c>
    </row>
    <row r="64" spans="1:9" ht="14">
      <c r="A64" s="26" t="str">
        <f ca="1">IFERROR(__xludf.DUMMYFUNCTION("""COMPUTED_VALUE"""),"A Video-Based Method for Automatically Rating Ataxia")</f>
        <v>A Video-Based Method for Automatically Rating Ataxia</v>
      </c>
      <c r="B64" t="str">
        <f ca="1">IF(ISBLANK(A64), "", VLOOKUP(A64,'Annotated Papers'!63:1102,2,FALSE))</f>
        <v>ML4H</v>
      </c>
      <c r="C64" s="24">
        <f ca="1">IF(ISBLANK(A64), "", VLOOKUP(A64,'Annotated Papers'!63:1102,5,FALSE))</f>
        <v>0</v>
      </c>
      <c r="D64">
        <f ca="1">IF(ISBLANK(A64), "", IF(COUNTIF('Annotated Papers'!A:A,A64)&gt;1,1,0))</f>
        <v>0</v>
      </c>
      <c r="E64">
        <f ca="1">IF(ISBLANK(A64), "", IF(SUMIFS('Annotated Papers'!G:G, 'Annotated Papers'!A:A,A64)&gt;0,1,0))</f>
        <v>1</v>
      </c>
      <c r="F64">
        <f ca="1">IF(ISBLANK(A64), "", IF(SUMIFS('Annotated Papers'!H:H, 'Annotated Papers'!A:A,A64)&gt;0,1,0))</f>
        <v>0</v>
      </c>
      <c r="G64" t="e">
        <f ca="1">IF(ISBLANK(A64), "", IF(SUMIFS('Annotated Papers'!I:I, 'Annotated Papers'!A:A,A64)&gt;0,1,0))</f>
        <v>#NAME?</v>
      </c>
      <c r="H64">
        <f ca="1">IF(ISBLANK(A64), "", IF(SUMIFS('Annotated Papers'!L:L, 'Annotated Papers'!A:A,A64)&gt;0,1,0))</f>
        <v>1</v>
      </c>
      <c r="I64" s="24">
        <f ca="1">IF(ISBLANK(A64), "", VLOOKUP(A64,'Annotated Papers'!63:1102,4,FALSE))</f>
        <v>0</v>
      </c>
    </row>
    <row r="65" spans="1:9" ht="14">
      <c r="A65" s="26" t="str">
        <f ca="1">IFERROR(__xludf.DUMMYFUNCTION("""COMPUTED_VALUE"""),"Visualizing Clinical Significance with Prediction and Tolerance Regions:")</f>
        <v>Visualizing Clinical Significance with Prediction and Tolerance Regions:</v>
      </c>
      <c r="B65" t="str">
        <f ca="1">IF(ISBLANK(A65), "", VLOOKUP(A65,'Annotated Papers'!64:1103,2,FALSE))</f>
        <v>ML4H</v>
      </c>
      <c r="C65" s="24">
        <f ca="1">IF(ISBLANK(A65), "", VLOOKUP(A65,'Annotated Papers'!64:1103,5,FALSE))</f>
        <v>0</v>
      </c>
      <c r="D65">
        <f ca="1">IF(ISBLANK(A65), "", IF(COUNTIF('Annotated Papers'!A:A,A65)&gt;1,1,0))</f>
        <v>0</v>
      </c>
      <c r="E65">
        <f ca="1">IF(ISBLANK(A65), "", IF(SUMIFS('Annotated Papers'!G:G, 'Annotated Papers'!A:A,A65)&gt;0,1,0))</f>
        <v>1</v>
      </c>
      <c r="F65">
        <f ca="1">IF(ISBLANK(A65), "", IF(SUMIFS('Annotated Papers'!H:H, 'Annotated Papers'!A:A,A65)&gt;0,1,0))</f>
        <v>0</v>
      </c>
      <c r="G65" t="e">
        <f ca="1">IF(ISBLANK(A65), "", IF(SUMIFS('Annotated Papers'!I:I, 'Annotated Papers'!A:A,A65)&gt;0,1,0))</f>
        <v>#NAME?</v>
      </c>
      <c r="H65">
        <f ca="1">IF(ISBLANK(A65), "", IF(SUMIFS('Annotated Papers'!L:L, 'Annotated Papers'!A:A,A65)&gt;0,1,0))</f>
        <v>0</v>
      </c>
      <c r="I65" s="24">
        <f ca="1">IF(ISBLANK(A65), "", VLOOKUP(A65,'Annotated Papers'!64:1103,4,FALSE))</f>
        <v>0</v>
      </c>
    </row>
    <row r="66" spans="1:9" ht="14">
      <c r="A66" s="26" t="str">
        <f ca="1">IFERROR(__xludf.DUMMYFUNCTION("""COMPUTED_VALUE"""),"Predictive Hierarchical Clustering: Learning clusters of CPT codes for improving surgical outcomes")</f>
        <v>Predictive Hierarchical Clustering: Learning clusters of CPT codes for improving surgical outcomes</v>
      </c>
      <c r="B66" t="str">
        <f ca="1">IF(ISBLANK(A66), "", VLOOKUP(A66,'Annotated Papers'!65:1104,2,FALSE))</f>
        <v>ML4H</v>
      </c>
      <c r="C66" s="24">
        <f ca="1">IF(ISBLANK(A66), "", VLOOKUP(A66,'Annotated Papers'!65:1104,5,FALSE))</f>
        <v>0</v>
      </c>
      <c r="D66">
        <f ca="1">IF(ISBLANK(A66), "", IF(COUNTIF('Annotated Papers'!A:A,A66)&gt;1,1,0))</f>
        <v>1</v>
      </c>
      <c r="E66">
        <f ca="1">IF(ISBLANK(A66), "", IF(SUMIFS('Annotated Papers'!G:G, 'Annotated Papers'!A:A,A66)&gt;0,1,0))</f>
        <v>1</v>
      </c>
      <c r="F66">
        <f ca="1">IF(ISBLANK(A66), "", IF(SUMIFS('Annotated Papers'!H:H, 'Annotated Papers'!A:A,A66)&gt;0,1,0))</f>
        <v>0</v>
      </c>
      <c r="G66" t="e">
        <f ca="1">IF(ISBLANK(A66), "", IF(SUMIFS('Annotated Papers'!I:I, 'Annotated Papers'!A:A,A66)&gt;0,1,0))</f>
        <v>#NAME?</v>
      </c>
      <c r="H66">
        <f ca="1">IF(ISBLANK(A66), "", IF(SUMIFS('Annotated Papers'!L:L, 'Annotated Papers'!A:A,A66)&gt;0,1,0))</f>
        <v>0</v>
      </c>
      <c r="I66" s="24">
        <f ca="1">IF(ISBLANK(A66), "", VLOOKUP(A66,'Annotated Papers'!65:1104,4,FALSE))</f>
        <v>0</v>
      </c>
    </row>
    <row r="67" spans="1:9" ht="14">
      <c r="A67" s="26" t="str">
        <f ca="1">IFERROR(__xludf.DUMMYFUNCTION("""COMPUTED_VALUE"""),"An Improved Multi-Output Gaussian Process RNN with Real-Time Validation for Early Sepsis Detection")</f>
        <v>An Improved Multi-Output Gaussian Process RNN with Real-Time Validation for Early Sepsis Detection</v>
      </c>
      <c r="B67" t="str">
        <f ca="1">IF(ISBLANK(A67), "", VLOOKUP(A67,'Annotated Papers'!66:1105,2,FALSE))</f>
        <v>ML4H</v>
      </c>
      <c r="C67" s="24">
        <f ca="1">IF(ISBLANK(A67), "", VLOOKUP(A67,'Annotated Papers'!66:1105,5,FALSE))</f>
        <v>1</v>
      </c>
      <c r="D67">
        <f ca="1">IF(ISBLANK(A67), "", IF(COUNTIF('Annotated Papers'!A:A,A67)&gt;1,1,0))</f>
        <v>0</v>
      </c>
      <c r="E67">
        <f ca="1">IF(ISBLANK(A67), "", IF(SUMIFS('Annotated Papers'!G:G, 'Annotated Papers'!A:A,A67)&gt;0,1,0))</f>
        <v>1</v>
      </c>
      <c r="F67">
        <f ca="1">IF(ISBLANK(A67), "", IF(SUMIFS('Annotated Papers'!H:H, 'Annotated Papers'!A:A,A67)&gt;0,1,0))</f>
        <v>0</v>
      </c>
      <c r="G67" t="e">
        <f ca="1">IF(ISBLANK(A67), "", IF(SUMIFS('Annotated Papers'!I:I, 'Annotated Papers'!A:A,A67)&gt;0,1,0))</f>
        <v>#NAME?</v>
      </c>
      <c r="H67">
        <f ca="1">IF(ISBLANK(A67), "", IF(SUMIFS('Annotated Papers'!L:L, 'Annotated Papers'!A:A,A67)&gt;0,1,0))</f>
        <v>0</v>
      </c>
      <c r="I67" s="24">
        <f ca="1">IF(ISBLANK(A67), "", VLOOKUP(A67,'Annotated Papers'!66:1105,4,FALSE))</f>
        <v>0</v>
      </c>
    </row>
    <row r="68" spans="1:9" ht="14">
      <c r="A68" s="26" t="str">
        <f ca="1">IFERROR(__xludf.DUMMYFUNCTION("""COMPUTED_VALUE"""),"Marked Point Process for Severity of Illness Assessment")</f>
        <v>Marked Point Process for Severity of Illness Assessment</v>
      </c>
      <c r="B68" t="str">
        <f ca="1">IF(ISBLANK(A68), "", VLOOKUP(A68,'Annotated Papers'!67:1106,2,FALSE))</f>
        <v>ML4H</v>
      </c>
      <c r="C68" s="24">
        <f ca="1">IF(ISBLANK(A68), "", VLOOKUP(A68,'Annotated Papers'!67:1106,5,FALSE))</f>
        <v>0</v>
      </c>
      <c r="D68">
        <f ca="1">IF(ISBLANK(A68), "", IF(COUNTIF('Annotated Papers'!A:A,A68)&gt;1,1,0))</f>
        <v>1</v>
      </c>
      <c r="E68">
        <f ca="1">IF(ISBLANK(A68), "", IF(SUMIFS('Annotated Papers'!G:G, 'Annotated Papers'!A:A,A68)&gt;0,1,0))</f>
        <v>1</v>
      </c>
      <c r="F68">
        <f ca="1">IF(ISBLANK(A68), "", IF(SUMIFS('Annotated Papers'!H:H, 'Annotated Papers'!A:A,A68)&gt;0,1,0))</f>
        <v>1</v>
      </c>
      <c r="G68" t="e">
        <f ca="1">IF(ISBLANK(A68), "", IF(SUMIFS('Annotated Papers'!I:I, 'Annotated Papers'!A:A,A68)&gt;0,1,0))</f>
        <v>#NAME?</v>
      </c>
      <c r="H68">
        <f ca="1">IF(ISBLANK(A68), "", IF(SUMIFS('Annotated Papers'!L:L, 'Annotated Papers'!A:A,A68)&gt;0,1,0))</f>
        <v>0</v>
      </c>
      <c r="I68" s="24">
        <f ca="1">IF(ISBLANK(A68), "", VLOOKUP(A68,'Annotated Papers'!67:1106,4,FALSE))</f>
        <v>0</v>
      </c>
    </row>
    <row r="69" spans="1:9" ht="14">
      <c r="A69" s="26" t="str">
        <f ca="1">IFERROR(__xludf.DUMMYFUNCTION("""COMPUTED_VALUE"""),"Diagnostic Inferencing via Improving Clinical Concept Extraction with Deep Reinforcement Learning: A Preliminary Study")</f>
        <v>Diagnostic Inferencing via Improving Clinical Concept Extraction with Deep Reinforcement Learning: A Preliminary Study</v>
      </c>
      <c r="B69" t="str">
        <f ca="1">IF(ISBLANK(A69), "", VLOOKUP(A69,'Annotated Papers'!68:1107,2,FALSE))</f>
        <v>ML4H</v>
      </c>
      <c r="C69" s="24">
        <f ca="1">IF(ISBLANK(A69), "", VLOOKUP(A69,'Annotated Papers'!68:1107,5,FALSE))</f>
        <v>0</v>
      </c>
      <c r="D69">
        <f ca="1">IF(ISBLANK(A69), "", IF(COUNTIF('Annotated Papers'!A:A,A69)&gt;1,1,0))</f>
        <v>0</v>
      </c>
      <c r="E69">
        <f ca="1">IF(ISBLANK(A69), "", IF(SUMIFS('Annotated Papers'!G:G, 'Annotated Papers'!A:A,A69)&gt;0,1,0))</f>
        <v>0</v>
      </c>
      <c r="F69">
        <f ca="1">IF(ISBLANK(A69), "", IF(SUMIFS('Annotated Papers'!H:H, 'Annotated Papers'!A:A,A69)&gt;0,1,0))</f>
        <v>1</v>
      </c>
      <c r="G69" t="e">
        <f ca="1">IF(ISBLANK(A69), "", IF(SUMIFS('Annotated Papers'!I:I, 'Annotated Papers'!A:A,A69)&gt;0,1,0))</f>
        <v>#NAME?</v>
      </c>
      <c r="H69">
        <f ca="1">IF(ISBLANK(A69), "", IF(SUMIFS('Annotated Papers'!L:L, 'Annotated Papers'!A:A,A69)&gt;0,1,0))</f>
        <v>0</v>
      </c>
      <c r="I69" s="24">
        <f ca="1">IF(ISBLANK(A69), "", VLOOKUP(A69,'Annotated Papers'!68:1107,4,FALSE))</f>
        <v>0</v>
      </c>
    </row>
    <row r="70" spans="1:9" ht="14">
      <c r="A70" s="26" t="str">
        <f ca="1">IFERROR(__xludf.DUMMYFUNCTION("""COMPUTED_VALUE"""),"Generating Multi-label Discrete Patient Records using Generative Adversarial Networks:")</f>
        <v>Generating Multi-label Discrete Patient Records using Generative Adversarial Networks:</v>
      </c>
      <c r="B70" t="str">
        <f ca="1">IF(ISBLANK(A70), "", VLOOKUP(A70,'Annotated Papers'!69:1108,2,FALSE))</f>
        <v>ML4H</v>
      </c>
      <c r="C70" s="24">
        <f ca="1">IF(ISBLANK(A70), "", VLOOKUP(A70,'Annotated Papers'!69:1108,5,FALSE))</f>
        <v>1</v>
      </c>
      <c r="D70">
        <f ca="1">IF(ISBLANK(A70), "", IF(COUNTIF('Annotated Papers'!A:A,A70)&gt;1,1,0))</f>
        <v>1</v>
      </c>
      <c r="E70">
        <f ca="1">IF(ISBLANK(A70), "", IF(SUMIFS('Annotated Papers'!G:G, 'Annotated Papers'!A:A,A70)&gt;0,1,0))</f>
        <v>1</v>
      </c>
      <c r="F70">
        <f ca="1">IF(ISBLANK(A70), "", IF(SUMIFS('Annotated Papers'!H:H, 'Annotated Papers'!A:A,A70)&gt;0,1,0))</f>
        <v>1</v>
      </c>
      <c r="G70" t="e">
        <f ca="1">IF(ISBLANK(A70), "", IF(SUMIFS('Annotated Papers'!I:I, 'Annotated Papers'!A:A,A70)&gt;0,1,0))</f>
        <v>#NAME?</v>
      </c>
      <c r="H70">
        <f ca="1">IF(ISBLANK(A70), "", IF(SUMIFS('Annotated Papers'!L:L, 'Annotated Papers'!A:A,A70)&gt;0,1,0))</f>
        <v>0</v>
      </c>
      <c r="I70" s="24">
        <f ca="1">IF(ISBLANK(A70), "", VLOOKUP(A70,'Annotated Papers'!69:1108,4,FALSE))</f>
        <v>0</v>
      </c>
    </row>
    <row r="71" spans="1:9" ht="14">
      <c r="A71" s="26" t="str">
        <f ca="1">IFERROR(__xludf.DUMMYFUNCTION("""COMPUTED_VALUE"""),"Quantifying Mental Health from Social Media using Learned User Embeddings:")</f>
        <v>Quantifying Mental Health from Social Media using Learned User Embeddings:</v>
      </c>
      <c r="B71" t="str">
        <f ca="1">IF(ISBLANK(A71), "", VLOOKUP(A71,'Annotated Papers'!70:1109,2,FALSE))</f>
        <v>ML4H</v>
      </c>
      <c r="C71" s="24">
        <f ca="1">IF(ISBLANK(A71), "", VLOOKUP(A71,'Annotated Papers'!70:1109,5,FALSE))</f>
        <v>1</v>
      </c>
      <c r="D71">
        <f ca="1">IF(ISBLANK(A71), "", IF(COUNTIF('Annotated Papers'!A:A,A71)&gt;1,1,0))</f>
        <v>0</v>
      </c>
      <c r="E71">
        <f ca="1">IF(ISBLANK(A71), "", IF(SUMIFS('Annotated Papers'!G:G, 'Annotated Papers'!A:A,A71)&gt;0,1,0))</f>
        <v>0</v>
      </c>
      <c r="F71">
        <f ca="1">IF(ISBLANK(A71), "", IF(SUMIFS('Annotated Papers'!H:H, 'Annotated Papers'!A:A,A71)&gt;0,1,0))</f>
        <v>1</v>
      </c>
      <c r="G71" t="e">
        <f ca="1">IF(ISBLANK(A71), "", IF(SUMIFS('Annotated Papers'!I:I, 'Annotated Papers'!A:A,A71)&gt;0,1,0))</f>
        <v>#NAME?</v>
      </c>
      <c r="H71">
        <f ca="1">IF(ISBLANK(A71), "", IF(SUMIFS('Annotated Papers'!L:L, 'Annotated Papers'!A:A,A71)&gt;0,1,0))</f>
        <v>0</v>
      </c>
      <c r="I71" s="24">
        <f ca="1">IF(ISBLANK(A71), "", VLOOKUP(A71,'Annotated Papers'!70:1109,4,FALSE))</f>
        <v>0</v>
      </c>
    </row>
    <row r="72" spans="1:9" ht="14">
      <c r="A72" s="26" t="str">
        <f ca="1">IFERROR(__xludf.DUMMYFUNCTION("""COMPUTED_VALUE"""),"Clinical Intervention Prediction and Understanding using Deep Networks")</f>
        <v>Clinical Intervention Prediction and Understanding using Deep Networks</v>
      </c>
      <c r="B72" t="str">
        <f ca="1">IF(ISBLANK(A72), "", VLOOKUP(A72,'Annotated Papers'!71:1110,2,FALSE))</f>
        <v>ML4H</v>
      </c>
      <c r="C72" s="24">
        <f ca="1">IF(ISBLANK(A72), "", VLOOKUP(A72,'Annotated Papers'!71:1110,5,FALSE))</f>
        <v>0</v>
      </c>
      <c r="D72">
        <f ca="1">IF(ISBLANK(A72), "", IF(COUNTIF('Annotated Papers'!A:A,A72)&gt;1,1,0))</f>
        <v>0</v>
      </c>
      <c r="E72">
        <f ca="1">IF(ISBLANK(A72), "", IF(SUMIFS('Annotated Papers'!G:G, 'Annotated Papers'!A:A,A72)&gt;0,1,0))</f>
        <v>1</v>
      </c>
      <c r="F72">
        <f ca="1">IF(ISBLANK(A72), "", IF(SUMIFS('Annotated Papers'!H:H, 'Annotated Papers'!A:A,A72)&gt;0,1,0))</f>
        <v>1</v>
      </c>
      <c r="G72" t="e">
        <f ca="1">IF(ISBLANK(A72), "", IF(SUMIFS('Annotated Papers'!I:I, 'Annotated Papers'!A:A,A72)&gt;0,1,0))</f>
        <v>#NAME?</v>
      </c>
      <c r="H72">
        <f ca="1">IF(ISBLANK(A72), "", IF(SUMIFS('Annotated Papers'!L:L, 'Annotated Papers'!A:A,A72)&gt;0,1,0))</f>
        <v>0</v>
      </c>
      <c r="I72" s="24">
        <f ca="1">IF(ISBLANK(A72), "", VLOOKUP(A72,'Annotated Papers'!71:1110,4,FALSE))</f>
        <v>0</v>
      </c>
    </row>
    <row r="73" spans="1:9" ht="14">
      <c r="A73" s="26" t="str">
        <f ca="1">IFERROR(__xludf.DUMMYFUNCTION("""COMPUTED_VALUE"""),"Understanding Coagulopathy using Multi-view Data in the Presence of Sub-Cohorts: A Hierarchical Subspace Approach")</f>
        <v>Understanding Coagulopathy using Multi-view Data in the Presence of Sub-Cohorts: A Hierarchical Subspace Approach</v>
      </c>
      <c r="B73" t="str">
        <f ca="1">IF(ISBLANK(A73), "", VLOOKUP(A73,'Annotated Papers'!72:1111,2,FALSE))</f>
        <v>ML4H</v>
      </c>
      <c r="C73" s="24">
        <f ca="1">IF(ISBLANK(A73), "", VLOOKUP(A73,'Annotated Papers'!72:1111,5,FALSE))</f>
        <v>0</v>
      </c>
      <c r="D73">
        <f ca="1">IF(ISBLANK(A73), "", IF(COUNTIF('Annotated Papers'!A:A,A73)&gt;1,1,0))</f>
        <v>0</v>
      </c>
      <c r="E73">
        <f ca="1">IF(ISBLANK(A73), "", IF(SUMIFS('Annotated Papers'!G:G, 'Annotated Papers'!A:A,A73)&gt;0,1,0))</f>
        <v>1</v>
      </c>
      <c r="F73">
        <f ca="1">IF(ISBLANK(A73), "", IF(SUMIFS('Annotated Papers'!H:H, 'Annotated Papers'!A:A,A73)&gt;0,1,0))</f>
        <v>0</v>
      </c>
      <c r="G73" t="e">
        <f ca="1">IF(ISBLANK(A73), "", IF(SUMIFS('Annotated Papers'!I:I, 'Annotated Papers'!A:A,A73)&gt;0,1,0))</f>
        <v>#NAME?</v>
      </c>
      <c r="H73">
        <f ca="1">IF(ISBLANK(A73), "", IF(SUMIFS('Annotated Papers'!L:L, 'Annotated Papers'!A:A,A73)&gt;0,1,0))</f>
        <v>0</v>
      </c>
      <c r="I73" s="24">
        <f ca="1">IF(ISBLANK(A73), "", VLOOKUP(A73,'Annotated Papers'!72:1111,4,FALSE))</f>
        <v>0</v>
      </c>
    </row>
    <row r="74" spans="1:9" ht="14">
      <c r="A74" s="26" t="str">
        <f ca="1">IFERROR(__xludf.DUMMYFUNCTION("""COMPUTED_VALUE"""),"Towards a directory of rare disease specialists: Identifying experts from publication history")</f>
        <v>Towards a directory of rare disease specialists: Identifying experts from publication history</v>
      </c>
      <c r="B74" t="str">
        <f ca="1">IF(ISBLANK(A74), "", VLOOKUP(A74,'Annotated Papers'!73:1112,2,FALSE))</f>
        <v>ML4H</v>
      </c>
      <c r="C74" s="24">
        <f ca="1">IF(ISBLANK(A74), "", VLOOKUP(A74,'Annotated Papers'!73:1112,5,FALSE))</f>
        <v>1</v>
      </c>
      <c r="D74">
        <f ca="1">IF(ISBLANK(A74), "", IF(COUNTIF('Annotated Papers'!A:A,A74)&gt;1,1,0))</f>
        <v>0</v>
      </c>
      <c r="E74">
        <f ca="1">IF(ISBLANK(A74), "", IF(SUMIFS('Annotated Papers'!G:G, 'Annotated Papers'!A:A,A74)&gt;0,1,0))</f>
        <v>0</v>
      </c>
      <c r="F74">
        <f ca="1">IF(ISBLANK(A74), "", IF(SUMIFS('Annotated Papers'!H:H, 'Annotated Papers'!A:A,A74)&gt;0,1,0))</f>
        <v>0</v>
      </c>
      <c r="G74" t="e">
        <f ca="1">IF(ISBLANK(A74), "", IF(SUMIFS('Annotated Papers'!I:I, 'Annotated Papers'!A:A,A74)&gt;0,1,0))</f>
        <v>#NAME?</v>
      </c>
      <c r="H74">
        <f ca="1">IF(ISBLANK(A74), "", IF(SUMIFS('Annotated Papers'!L:L, 'Annotated Papers'!A:A,A74)&gt;0,1,0))</f>
        <v>0</v>
      </c>
      <c r="I74" s="24">
        <f ca="1">IF(ISBLANK(A74), "", VLOOKUP(A74,'Annotated Papers'!73:1112,4,FALSE))</f>
        <v>0</v>
      </c>
    </row>
    <row r="75" spans="1:9" ht="14">
      <c r="A75" s="26" t="str">
        <f ca="1">IFERROR(__xludf.DUMMYFUNCTION("""COMPUTED_VALUE"""),"Reproducibility in critical care: a mortality prediction case study:")</f>
        <v>Reproducibility in critical care: a mortality prediction case study:</v>
      </c>
      <c r="B75" t="str">
        <f ca="1">IF(ISBLANK(A75), "", VLOOKUP(A75,'Annotated Papers'!74:1113,2,FALSE))</f>
        <v>ML4H</v>
      </c>
      <c r="C75" s="24">
        <f ca="1">IF(ISBLANK(A75), "", VLOOKUP(A75,'Annotated Papers'!74:1113,5,FALSE))</f>
        <v>1</v>
      </c>
      <c r="D75">
        <f ca="1">IF(ISBLANK(A75), "", IF(COUNTIF('Annotated Papers'!A:A,A75)&gt;1,1,0))</f>
        <v>0</v>
      </c>
      <c r="E75">
        <f ca="1">IF(ISBLANK(A75), "", IF(SUMIFS('Annotated Papers'!G:G, 'Annotated Papers'!A:A,A75)&gt;0,1,0))</f>
        <v>1</v>
      </c>
      <c r="F75">
        <f ca="1">IF(ISBLANK(A75), "", IF(SUMIFS('Annotated Papers'!H:H, 'Annotated Papers'!A:A,A75)&gt;0,1,0))</f>
        <v>1</v>
      </c>
      <c r="G75" t="e">
        <f ca="1">IF(ISBLANK(A75), "", IF(SUMIFS('Annotated Papers'!I:I, 'Annotated Papers'!A:A,A75)&gt;0,1,0))</f>
        <v>#NAME?</v>
      </c>
      <c r="H75">
        <f ca="1">IF(ISBLANK(A75), "", IF(SUMIFS('Annotated Papers'!L:L, 'Annotated Papers'!A:A,A75)&gt;0,1,0))</f>
        <v>0</v>
      </c>
      <c r="I75" s="24">
        <f ca="1">IF(ISBLANK(A75), "", VLOOKUP(A75,'Annotated Papers'!74:1113,4,FALSE))</f>
        <v>0</v>
      </c>
    </row>
    <row r="76" spans="1:9" ht="14">
      <c r="A76" s="26" t="str">
        <f ca="1">IFERROR(__xludf.DUMMYFUNCTION("""COMPUTED_VALUE"""),"Predicting Infant Motor Development Status using Day Long Movement Data from Wearable Sensors")</f>
        <v>Predicting Infant Motor Development Status using Day Long Movement Data from Wearable Sensors</v>
      </c>
      <c r="B76" t="str">
        <f ca="1">IF(ISBLANK(A76), "", VLOOKUP(A76,'Annotated Papers'!75:1114,2,FALSE))</f>
        <v>ML4H</v>
      </c>
      <c r="C76" s="24">
        <f ca="1">IF(ISBLANK(A76), "", VLOOKUP(A76,'Annotated Papers'!75:1114,5,FALSE))</f>
        <v>0</v>
      </c>
      <c r="D76">
        <f ca="1">IF(ISBLANK(A76), "", IF(COUNTIF('Annotated Papers'!A:A,A76)&gt;1,1,0))</f>
        <v>0</v>
      </c>
      <c r="E76">
        <f ca="1">IF(ISBLANK(A76), "", IF(SUMIFS('Annotated Papers'!G:G, 'Annotated Papers'!A:A,A76)&gt;0,1,0))</f>
        <v>1</v>
      </c>
      <c r="F76">
        <f ca="1">IF(ISBLANK(A76), "", IF(SUMIFS('Annotated Papers'!H:H, 'Annotated Papers'!A:A,A76)&gt;0,1,0))</f>
        <v>0</v>
      </c>
      <c r="G76" t="e">
        <f ca="1">IF(ISBLANK(A76), "", IF(SUMIFS('Annotated Papers'!I:I, 'Annotated Papers'!A:A,A76)&gt;0,1,0))</f>
        <v>#NAME?</v>
      </c>
      <c r="H76">
        <f ca="1">IF(ISBLANK(A76), "", IF(SUMIFS('Annotated Papers'!L:L, 'Annotated Papers'!A:A,A76)&gt;0,1,0))</f>
        <v>0</v>
      </c>
      <c r="I76" s="24">
        <f ca="1">IF(ISBLANK(A76), "", VLOOKUP(A76,'Annotated Papers'!75:1114,4,FALSE))</f>
        <v>0</v>
      </c>
    </row>
    <row r="77" spans="1:9" ht="14">
      <c r="A77" s="26" t="str">
        <f ca="1">IFERROR(__xludf.DUMMYFUNCTION("""COMPUTED_VALUE"""),"Interpretable Patient Mortality Prediction with Multi-value Rule Sets")</f>
        <v>Interpretable Patient Mortality Prediction with Multi-value Rule Sets</v>
      </c>
      <c r="B77" t="str">
        <f ca="1">IF(ISBLANK(A77), "", VLOOKUP(A77,'Annotated Papers'!76:1115,2,FALSE))</f>
        <v>ML4H</v>
      </c>
      <c r="C77" s="24">
        <f ca="1">IF(ISBLANK(A77), "", VLOOKUP(A77,'Annotated Papers'!76:1115,5,FALSE))</f>
        <v>1</v>
      </c>
      <c r="D77">
        <f ca="1">IF(ISBLANK(A77), "", IF(COUNTIF('Annotated Papers'!A:A,A77)&gt;1,1,0))</f>
        <v>0</v>
      </c>
      <c r="E77">
        <f ca="1">IF(ISBLANK(A77), "", IF(SUMIFS('Annotated Papers'!G:G, 'Annotated Papers'!A:A,A77)&gt;0,1,0))</f>
        <v>1</v>
      </c>
      <c r="F77">
        <f ca="1">IF(ISBLANK(A77), "", IF(SUMIFS('Annotated Papers'!H:H, 'Annotated Papers'!A:A,A77)&gt;0,1,0))</f>
        <v>0</v>
      </c>
      <c r="G77" t="e">
        <f ca="1">IF(ISBLANK(A77), "", IF(SUMIFS('Annotated Papers'!I:I, 'Annotated Papers'!A:A,A77)&gt;0,1,0))</f>
        <v>#NAME?</v>
      </c>
      <c r="H77">
        <f ca="1">IF(ISBLANK(A77), "", IF(SUMIFS('Annotated Papers'!L:L, 'Annotated Papers'!A:A,A77)&gt;0,1,0))</f>
        <v>0</v>
      </c>
      <c r="I77" s="24">
        <f ca="1">IF(ISBLANK(A77), "", VLOOKUP(A77,'Annotated Papers'!76:1115,4,FALSE))</f>
        <v>0</v>
      </c>
    </row>
    <row r="78" spans="1:9" ht="14">
      <c r="A78" s="26" t="str">
        <f ca="1">IFERROR(__xludf.DUMMYFUNCTION("""COMPUTED_VALUE"""),"Forecasting Disease Trajectories in Alzheimer's Disease Using Deep Learning")</f>
        <v>Forecasting Disease Trajectories in Alzheimer's Disease Using Deep Learning</v>
      </c>
      <c r="B78" t="str">
        <f ca="1">IF(ISBLANK(A78), "", VLOOKUP(A78,'Annotated Papers'!77:1116,2,FALSE))</f>
        <v>ML4H</v>
      </c>
      <c r="C78" s="24">
        <f ca="1">IF(ISBLANK(A78), "", VLOOKUP(A78,'Annotated Papers'!77:1116,5,FALSE))</f>
        <v>0</v>
      </c>
      <c r="D78">
        <f ca="1">IF(ISBLANK(A78), "", IF(COUNTIF('Annotated Papers'!A:A,A78)&gt;1,1,0))</f>
        <v>0</v>
      </c>
      <c r="E78">
        <f ca="1">IF(ISBLANK(A78), "", IF(SUMIFS('Annotated Papers'!G:G, 'Annotated Papers'!A:A,A78)&gt;0,1,0))</f>
        <v>1</v>
      </c>
      <c r="F78">
        <f ca="1">IF(ISBLANK(A78), "", IF(SUMIFS('Annotated Papers'!H:H, 'Annotated Papers'!A:A,A78)&gt;0,1,0))</f>
        <v>1</v>
      </c>
      <c r="G78" t="e">
        <f ca="1">IF(ISBLANK(A78), "", IF(SUMIFS('Annotated Papers'!I:I, 'Annotated Papers'!A:A,A78)&gt;0,1,0))</f>
        <v>#NAME?</v>
      </c>
      <c r="H78">
        <f ca="1">IF(ISBLANK(A78), "", IF(SUMIFS('Annotated Papers'!L:L, 'Annotated Papers'!A:A,A78)&gt;0,1,0))</f>
        <v>1</v>
      </c>
      <c r="I78" s="24">
        <f ca="1">IF(ISBLANK(A78), "", VLOOKUP(A78,'Annotated Papers'!77:1116,4,FALSE))</f>
        <v>0</v>
      </c>
    </row>
    <row r="79" spans="1:9" ht="14">
      <c r="A79" s="26" t="str">
        <f ca="1">IFERROR(__xludf.DUMMYFUNCTION("""COMPUTED_VALUE"""),"PIVETed-Granite: Computational Phenotypes through Constrained Tensor Factorization")</f>
        <v>PIVETed-Granite: Computational Phenotypes through Constrained Tensor Factorization</v>
      </c>
      <c r="B79" t="str">
        <f ca="1">IF(ISBLANK(A79), "", VLOOKUP(A79,'Annotated Papers'!78:1117,2,FALSE))</f>
        <v>ML4H</v>
      </c>
      <c r="C79" s="24">
        <f ca="1">IF(ISBLANK(A79), "", VLOOKUP(A79,'Annotated Papers'!78:1117,5,FALSE))</f>
        <v>0</v>
      </c>
      <c r="D79">
        <f ca="1">IF(ISBLANK(A79), "", IF(COUNTIF('Annotated Papers'!A:A,A79)&gt;1,1,0))</f>
        <v>0</v>
      </c>
      <c r="E79">
        <f ca="1">IF(ISBLANK(A79), "", IF(SUMIFS('Annotated Papers'!G:G, 'Annotated Papers'!A:A,A79)&gt;0,1,0))</f>
        <v>1</v>
      </c>
      <c r="F79">
        <f ca="1">IF(ISBLANK(A79), "", IF(SUMIFS('Annotated Papers'!H:H, 'Annotated Papers'!A:A,A79)&gt;0,1,0))</f>
        <v>1</v>
      </c>
      <c r="G79" t="e">
        <f ca="1">IF(ISBLANK(A79), "", IF(SUMIFS('Annotated Papers'!I:I, 'Annotated Papers'!A:A,A79)&gt;0,1,0))</f>
        <v>#NAME?</v>
      </c>
      <c r="H79">
        <f ca="1">IF(ISBLANK(A79), "", IF(SUMIFS('Annotated Papers'!L:L, 'Annotated Papers'!A:A,A79)&gt;0,1,0))</f>
        <v>1</v>
      </c>
      <c r="I79" s="24">
        <f ca="1">IF(ISBLANK(A79), "", VLOOKUP(A79,'Annotated Papers'!78:1117,4,FALSE))</f>
        <v>0</v>
      </c>
    </row>
    <row r="80" spans="1:9" ht="14">
      <c r="A80" s="26" t="str">
        <f ca="1">IFERROR(__xludf.DUMMYFUNCTION("""COMPUTED_VALUE"""),"Mapping Unparalleled Clinical Professional and Consumer Languages with Embedding Alignment")</f>
        <v>Mapping Unparalleled Clinical Professional and Consumer Languages with Embedding Alignment</v>
      </c>
      <c r="B80" t="str">
        <f ca="1">IF(ISBLANK(A80), "", VLOOKUP(A80,'Annotated Papers'!79:1118,2,FALSE))</f>
        <v>ML4H</v>
      </c>
      <c r="C80" s="24">
        <f ca="1">IF(ISBLANK(A80), "", VLOOKUP(A80,'Annotated Papers'!79:1118,5,FALSE))</f>
        <v>0</v>
      </c>
      <c r="D80">
        <f ca="1">IF(ISBLANK(A80), "", IF(COUNTIF('Annotated Papers'!A:A,A80)&gt;1,1,0))</f>
        <v>0</v>
      </c>
      <c r="E80">
        <f ca="1">IF(ISBLANK(A80), "", IF(SUMIFS('Annotated Papers'!G:G, 'Annotated Papers'!A:A,A80)&gt;0,1,0))</f>
        <v>1</v>
      </c>
      <c r="F80">
        <f ca="1">IF(ISBLANK(A80), "", IF(SUMIFS('Annotated Papers'!H:H, 'Annotated Papers'!A:A,A80)&gt;0,1,0))</f>
        <v>1</v>
      </c>
      <c r="G80" t="e">
        <f ca="1">IF(ISBLANK(A80), "", IF(SUMIFS('Annotated Papers'!I:I, 'Annotated Papers'!A:A,A80)&gt;0,1,0))</f>
        <v>#NAME?</v>
      </c>
      <c r="H80">
        <f ca="1">IF(ISBLANK(A80), "", IF(SUMIFS('Annotated Papers'!L:L, 'Annotated Papers'!A:A,A80)&gt;0,1,0))</f>
        <v>1</v>
      </c>
      <c r="I80" s="24">
        <f ca="1">IF(ISBLANK(A80), "", VLOOKUP(A80,'Annotated Papers'!79:1118,4,FALSE))</f>
        <v>0</v>
      </c>
    </row>
    <row r="81" spans="1:9" ht="14">
      <c r="A81" s="26" t="str">
        <f ca="1">IFERROR(__xludf.DUMMYFUNCTION("""COMPUTED_VALUE"""),"Ensemble learning with Conformal Predictors: Targeting credible predictions of conversion from Mild Cognitive Impairment to Alzheimer’s Disease")</f>
        <v>Ensemble learning with Conformal Predictors: Targeting credible predictions of conversion from Mild Cognitive Impairment to Alzheimer’s Disease</v>
      </c>
      <c r="B81" t="str">
        <f ca="1">IF(ISBLANK(A81), "", VLOOKUP(A81,'Annotated Papers'!80:1119,2,FALSE))</f>
        <v>ML4H</v>
      </c>
      <c r="C81" s="24">
        <f ca="1">IF(ISBLANK(A81), "", VLOOKUP(A81,'Annotated Papers'!80:1119,5,FALSE))</f>
        <v>0</v>
      </c>
      <c r="D81">
        <f ca="1">IF(ISBLANK(A81), "", IF(COUNTIF('Annotated Papers'!A:A,A81)&gt;1,1,0))</f>
        <v>0</v>
      </c>
      <c r="E81">
        <f ca="1">IF(ISBLANK(A81), "", IF(SUMIFS('Annotated Papers'!G:G, 'Annotated Papers'!A:A,A81)&gt;0,1,0))</f>
        <v>1</v>
      </c>
      <c r="F81">
        <f ca="1">IF(ISBLANK(A81), "", IF(SUMIFS('Annotated Papers'!H:H, 'Annotated Papers'!A:A,A81)&gt;0,1,0))</f>
        <v>0</v>
      </c>
      <c r="G81" t="e">
        <f ca="1">IF(ISBLANK(A81), "", IF(SUMIFS('Annotated Papers'!I:I, 'Annotated Papers'!A:A,A81)&gt;0,1,0))</f>
        <v>#NAME?</v>
      </c>
      <c r="H81">
        <f ca="1">IF(ISBLANK(A81), "", IF(SUMIFS('Annotated Papers'!L:L, 'Annotated Papers'!A:A,A81)&gt;0,1,0))</f>
        <v>1</v>
      </c>
      <c r="I81" s="24">
        <f ca="1">IF(ISBLANK(A81), "", VLOOKUP(A81,'Annotated Papers'!80:1119,4,FALSE))</f>
        <v>0</v>
      </c>
    </row>
    <row r="82" spans="1:9" ht="14">
      <c r="A82" s="26" t="str">
        <f ca="1">IFERROR(__xludf.DUMMYFUNCTION("""COMPUTED_VALUE"""),"Multi-Task Learning with Incomplete Data for Healthcare")</f>
        <v>Multi-Task Learning with Incomplete Data for Healthcare</v>
      </c>
      <c r="B82" t="str">
        <f ca="1">IF(ISBLANK(A82), "", VLOOKUP(A82,'Annotated Papers'!81:1120,2,FALSE))</f>
        <v>ML4H</v>
      </c>
      <c r="C82" s="24">
        <f ca="1">IF(ISBLANK(A82), "", VLOOKUP(A82,'Annotated Papers'!81:1120,5,FALSE))</f>
        <v>0</v>
      </c>
      <c r="D82">
        <f ca="1">IF(ISBLANK(A82), "", IF(COUNTIF('Annotated Papers'!A:A,A82)&gt;1,1,0))</f>
        <v>0</v>
      </c>
      <c r="E82">
        <f ca="1">IF(ISBLANK(A82), "", IF(SUMIFS('Annotated Papers'!G:G, 'Annotated Papers'!A:A,A82)&gt;0,1,0))</f>
        <v>1</v>
      </c>
      <c r="F82">
        <f ca="1">IF(ISBLANK(A82), "", IF(SUMIFS('Annotated Papers'!H:H, 'Annotated Papers'!A:A,A82)&gt;0,1,0))</f>
        <v>1</v>
      </c>
      <c r="G82" t="e">
        <f ca="1">IF(ISBLANK(A82), "", IF(SUMIFS('Annotated Papers'!I:I, 'Annotated Papers'!A:A,A82)&gt;0,1,0))</f>
        <v>#NAME?</v>
      </c>
      <c r="H82">
        <f ca="1">IF(ISBLANK(A82), "", IF(SUMIFS('Annotated Papers'!L:L, 'Annotated Papers'!A:A,A82)&gt;0,1,0))</f>
        <v>0</v>
      </c>
      <c r="I82" s="24">
        <f ca="1">IF(ISBLANK(A82), "", VLOOKUP(A82,'Annotated Papers'!81:1120,4,FALSE))</f>
        <v>0</v>
      </c>
    </row>
    <row r="83" spans="1:9" ht="14">
      <c r="A83" s="26" t="str">
        <f ca="1">IFERROR(__xludf.DUMMYFUNCTION("""COMPUTED_VALUE"""),"Mammography Dual View Mass Correspondence")</f>
        <v>Mammography Dual View Mass Correspondence</v>
      </c>
      <c r="B83" t="str">
        <f ca="1">IF(ISBLANK(A83), "", VLOOKUP(A83,'Annotated Papers'!82:1121,2,FALSE))</f>
        <v>ML4H</v>
      </c>
      <c r="C83" s="24">
        <f ca="1">IF(ISBLANK(A83), "", VLOOKUP(A83,'Annotated Papers'!82:1121,5,FALSE))</f>
        <v>0</v>
      </c>
      <c r="D83">
        <f ca="1">IF(ISBLANK(A83), "", IF(COUNTIF('Annotated Papers'!A:A,A83)&gt;1,1,0))</f>
        <v>1</v>
      </c>
      <c r="E83">
        <f ca="1">IF(ISBLANK(A83), "", IF(SUMIFS('Annotated Papers'!G:G, 'Annotated Papers'!A:A,A83)&gt;0,1,0))</f>
        <v>0</v>
      </c>
      <c r="F83">
        <f ca="1">IF(ISBLANK(A83), "", IF(SUMIFS('Annotated Papers'!H:H, 'Annotated Papers'!A:A,A83)&gt;0,1,0))</f>
        <v>1</v>
      </c>
      <c r="G83" t="e">
        <f ca="1">IF(ISBLANK(A83), "", IF(SUMIFS('Annotated Papers'!I:I, 'Annotated Papers'!A:A,A83)&gt;0,1,0))</f>
        <v>#NAME?</v>
      </c>
      <c r="H83">
        <f ca="1">IF(ISBLANK(A83), "", IF(SUMIFS('Annotated Papers'!L:L, 'Annotated Papers'!A:A,A83)&gt;0,1,0))</f>
        <v>0</v>
      </c>
      <c r="I83" s="24">
        <f ca="1">IF(ISBLANK(A83), "", VLOOKUP(A83,'Annotated Papers'!82:1121,4,FALSE))</f>
        <v>0</v>
      </c>
    </row>
    <row r="84" spans="1:9" ht="14">
      <c r="A84" s="26" t="str">
        <f ca="1">IFERROR(__xludf.DUMMYFUNCTION("""COMPUTED_VALUE"""),"Transfer Learning for Clinical Time Series Analysis using Recurrent Neural Networks")</f>
        <v>Transfer Learning for Clinical Time Series Analysis using Recurrent Neural Networks</v>
      </c>
      <c r="B84" t="str">
        <f ca="1">IF(ISBLANK(A84), "", VLOOKUP(A84,'Annotated Papers'!83:1122,2,FALSE))</f>
        <v>ML4H</v>
      </c>
      <c r="C84" s="24">
        <f ca="1">IF(ISBLANK(A84), "", VLOOKUP(A84,'Annotated Papers'!83:1122,5,FALSE))</f>
        <v>0</v>
      </c>
      <c r="D84">
        <f ca="1">IF(ISBLANK(A84), "", IF(COUNTIF('Annotated Papers'!A:A,A84)&gt;1,1,0))</f>
        <v>0</v>
      </c>
      <c r="E84">
        <f ca="1">IF(ISBLANK(A84), "", IF(SUMIFS('Annotated Papers'!G:G, 'Annotated Papers'!A:A,A84)&gt;0,1,0))</f>
        <v>1</v>
      </c>
      <c r="F84">
        <f ca="1">IF(ISBLANK(A84), "", IF(SUMIFS('Annotated Papers'!H:H, 'Annotated Papers'!A:A,A84)&gt;0,1,0))</f>
        <v>1</v>
      </c>
      <c r="G84" t="e">
        <f ca="1">IF(ISBLANK(A84), "", IF(SUMIFS('Annotated Papers'!I:I, 'Annotated Papers'!A:A,A84)&gt;0,1,0))</f>
        <v>#NAME?</v>
      </c>
      <c r="H84">
        <f ca="1">IF(ISBLANK(A84), "", IF(SUMIFS('Annotated Papers'!L:L, 'Annotated Papers'!A:A,A84)&gt;0,1,0))</f>
        <v>0</v>
      </c>
      <c r="I84" s="24">
        <f ca="1">IF(ISBLANK(A84), "", VLOOKUP(A84,'Annotated Papers'!83:1122,4,FALSE))</f>
        <v>0</v>
      </c>
    </row>
    <row r="85" spans="1:9" ht="14">
      <c r="A85" s="26" t="str">
        <f ca="1">IFERROR(__xludf.DUMMYFUNCTION("""COMPUTED_VALUE"""),"YouTube for Patient Education: A Deep Learning Approach for Understanding Medical Knowledge from User-Generated Videos")</f>
        <v>YouTube for Patient Education: A Deep Learning Approach for Understanding Medical Knowledge from User-Generated Videos</v>
      </c>
      <c r="B85" t="str">
        <f ca="1">IF(ISBLANK(A85), "", VLOOKUP(A85,'Annotated Papers'!84:1123,2,FALSE))</f>
        <v>ML4H</v>
      </c>
      <c r="C85" s="24">
        <f ca="1">IF(ISBLANK(A85), "", VLOOKUP(A85,'Annotated Papers'!84:1123,5,FALSE))</f>
        <v>0</v>
      </c>
      <c r="D85">
        <f ca="1">IF(ISBLANK(A85), "", IF(COUNTIF('Annotated Papers'!A:A,A85)&gt;1,1,0))</f>
        <v>0</v>
      </c>
      <c r="E85">
        <f ca="1">IF(ISBLANK(A85), "", IF(SUMIFS('Annotated Papers'!G:G, 'Annotated Papers'!A:A,A85)&gt;0,1,0))</f>
        <v>0</v>
      </c>
      <c r="F85">
        <f ca="1">IF(ISBLANK(A85), "", IF(SUMIFS('Annotated Papers'!H:H, 'Annotated Papers'!A:A,A85)&gt;0,1,0))</f>
        <v>1</v>
      </c>
      <c r="G85" t="e">
        <f ca="1">IF(ISBLANK(A85), "", IF(SUMIFS('Annotated Papers'!I:I, 'Annotated Papers'!A:A,A85)&gt;0,1,0))</f>
        <v>#NAME?</v>
      </c>
      <c r="H85">
        <f ca="1">IF(ISBLANK(A85), "", IF(SUMIFS('Annotated Papers'!L:L, 'Annotated Papers'!A:A,A85)&gt;0,1,0))</f>
        <v>0</v>
      </c>
      <c r="I85" s="24">
        <f ca="1">IF(ISBLANK(A85), "", VLOOKUP(A85,'Annotated Papers'!84:1123,4,FALSE))</f>
        <v>0</v>
      </c>
    </row>
    <row r="86" spans="1:9" ht="14">
      <c r="A86" s="26" t="str">
        <f ca="1">IFERROR(__xludf.DUMMYFUNCTION("""COMPUTED_VALUE"""),"Recognising Cardiac Abnormalities in Wearable Device Photoplethysmography (PPG) with Deep Learning")</f>
        <v>Recognising Cardiac Abnormalities in Wearable Device Photoplethysmography (PPG) with Deep Learning</v>
      </c>
      <c r="B86" t="str">
        <f ca="1">IF(ISBLANK(A86), "", VLOOKUP(A86,'Annotated Papers'!85:1124,2,FALSE))</f>
        <v>ML4H</v>
      </c>
      <c r="C86" s="24">
        <f ca="1">IF(ISBLANK(A86), "", VLOOKUP(A86,'Annotated Papers'!85:1124,5,FALSE))</f>
        <v>0</v>
      </c>
      <c r="D86">
        <f ca="1">IF(ISBLANK(A86), "", IF(COUNTIF('Annotated Papers'!A:A,A86)&gt;1,1,0))</f>
        <v>0</v>
      </c>
      <c r="E86">
        <f ca="1">IF(ISBLANK(A86), "", IF(SUMIFS('Annotated Papers'!G:G, 'Annotated Papers'!A:A,A86)&gt;0,1,0))</f>
        <v>1</v>
      </c>
      <c r="F86">
        <f ca="1">IF(ISBLANK(A86), "", IF(SUMIFS('Annotated Papers'!H:H, 'Annotated Papers'!A:A,A86)&gt;0,1,0))</f>
        <v>0</v>
      </c>
      <c r="G86" t="e">
        <f ca="1">IF(ISBLANK(A86), "", IF(SUMIFS('Annotated Papers'!I:I, 'Annotated Papers'!A:A,A86)&gt;0,1,0))</f>
        <v>#NAME?</v>
      </c>
      <c r="H86">
        <f ca="1">IF(ISBLANK(A86), "", IF(SUMIFS('Annotated Papers'!L:L, 'Annotated Papers'!A:A,A86)&gt;0,1,0))</f>
        <v>0</v>
      </c>
      <c r="I86" s="24">
        <f ca="1">IF(ISBLANK(A86), "", VLOOKUP(A86,'Annotated Papers'!85:1124,4,FALSE))</f>
        <v>0</v>
      </c>
    </row>
    <row r="87" spans="1:9" ht="14">
      <c r="A87" s="26" t="str">
        <f ca="1">IFERROR(__xludf.DUMMYFUNCTION("""COMPUTED_VALUE"""),"Online Heart Rate Prediction using Acceleration from a Wrist Worn Wearable")</f>
        <v>Online Heart Rate Prediction using Acceleration from a Wrist Worn Wearable</v>
      </c>
      <c r="B87" t="str">
        <f ca="1">IF(ISBLANK(A87), "", VLOOKUP(A87,'Annotated Papers'!86:1125,2,FALSE))</f>
        <v>ML4H</v>
      </c>
      <c r="C87" s="24">
        <f ca="1">IF(ISBLANK(A87), "", VLOOKUP(A87,'Annotated Papers'!86:1125,5,FALSE))</f>
        <v>0</v>
      </c>
      <c r="D87">
        <f ca="1">IF(ISBLANK(A87), "", IF(COUNTIF('Annotated Papers'!A:A,A87)&gt;1,1,0))</f>
        <v>0</v>
      </c>
      <c r="E87">
        <f ca="1">IF(ISBLANK(A87), "", IF(SUMIFS('Annotated Papers'!G:G, 'Annotated Papers'!A:A,A87)&gt;0,1,0))</f>
        <v>1</v>
      </c>
      <c r="F87">
        <f ca="1">IF(ISBLANK(A87), "", IF(SUMIFS('Annotated Papers'!H:H, 'Annotated Papers'!A:A,A87)&gt;0,1,0))</f>
        <v>0</v>
      </c>
      <c r="G87" t="e">
        <f ca="1">IF(ISBLANK(A87), "", IF(SUMIFS('Annotated Papers'!I:I, 'Annotated Papers'!A:A,A87)&gt;0,1,0))</f>
        <v>#NAME?</v>
      </c>
      <c r="H87">
        <f ca="1">IF(ISBLANK(A87), "", IF(SUMIFS('Annotated Papers'!L:L, 'Annotated Papers'!A:A,A87)&gt;0,1,0))</f>
        <v>0</v>
      </c>
      <c r="I87" s="24">
        <f ca="1">IF(ISBLANK(A87), "", VLOOKUP(A87,'Annotated Papers'!86:1125,4,FALSE))</f>
        <v>0</v>
      </c>
    </row>
    <row r="88" spans="1:9" ht="14">
      <c r="A88" s="26" t="str">
        <f ca="1">IFERROR(__xludf.DUMMYFUNCTION("""COMPUTED_VALUE"""),"A hybrid deep learning approach for medical relation extraction")</f>
        <v>A hybrid deep learning approach for medical relation extraction</v>
      </c>
      <c r="B88" t="str">
        <f ca="1">IF(ISBLANK(A88), "", VLOOKUP(A88,'Annotated Papers'!87:1126,2,FALSE))</f>
        <v>ML4H</v>
      </c>
      <c r="C88" s="24">
        <f ca="1">IF(ISBLANK(A88), "", VLOOKUP(A88,'Annotated Papers'!87:1126,5,FALSE))</f>
        <v>0</v>
      </c>
      <c r="D88">
        <f ca="1">IF(ISBLANK(A88), "", IF(COUNTIF('Annotated Papers'!A:A,A88)&gt;1,1,0))</f>
        <v>0</v>
      </c>
      <c r="E88">
        <f ca="1">IF(ISBLANK(A88), "", IF(SUMIFS('Annotated Papers'!G:G, 'Annotated Papers'!A:A,A88)&gt;0,1,0))</f>
        <v>0</v>
      </c>
      <c r="F88">
        <f ca="1">IF(ISBLANK(A88), "", IF(SUMIFS('Annotated Papers'!H:H, 'Annotated Papers'!A:A,A88)&gt;0,1,0))</f>
        <v>1</v>
      </c>
      <c r="G88" t="e">
        <f ca="1">IF(ISBLANK(A88), "", IF(SUMIFS('Annotated Papers'!I:I, 'Annotated Papers'!A:A,A88)&gt;0,1,0))</f>
        <v>#NAME?</v>
      </c>
      <c r="H88">
        <f ca="1">IF(ISBLANK(A88), "", IF(SUMIFS('Annotated Papers'!L:L, 'Annotated Papers'!A:A,A88)&gt;0,1,0))</f>
        <v>0</v>
      </c>
      <c r="I88" s="24">
        <f ca="1">IF(ISBLANK(A88), "", VLOOKUP(A88,'Annotated Papers'!87:1126,4,FALSE))</f>
        <v>0</v>
      </c>
    </row>
    <row r="89" spans="1:9" ht="14">
      <c r="A89" s="26" t="str">
        <f ca="1">IFERROR(__xludf.DUMMYFUNCTION("""COMPUTED_VALUE"""),"Building a Controlled Vocabulary for Standardizing Precision Medicine Terms")</f>
        <v>Building a Controlled Vocabulary for Standardizing Precision Medicine Terms</v>
      </c>
      <c r="B89" t="str">
        <f ca="1">IF(ISBLANK(A89), "", VLOOKUP(A89,'Annotated Papers'!88:1127,2,FALSE))</f>
        <v>ML4H</v>
      </c>
      <c r="C89" s="24">
        <f ca="1">IF(ISBLANK(A89), "", VLOOKUP(A89,'Annotated Papers'!88:1127,5,FALSE))</f>
        <v>0</v>
      </c>
      <c r="D89">
        <f ca="1">IF(ISBLANK(A89), "", IF(COUNTIF('Annotated Papers'!A:A,A89)&gt;1,1,0))</f>
        <v>0</v>
      </c>
      <c r="E89">
        <f ca="1">IF(ISBLANK(A89), "", IF(SUMIFS('Annotated Papers'!G:G, 'Annotated Papers'!A:A,A89)&gt;0,1,0))</f>
        <v>0</v>
      </c>
      <c r="F89">
        <f ca="1">IF(ISBLANK(A89), "", IF(SUMIFS('Annotated Papers'!H:H, 'Annotated Papers'!A:A,A89)&gt;0,1,0))</f>
        <v>0</v>
      </c>
      <c r="G89" t="e">
        <f ca="1">IF(ISBLANK(A89), "", IF(SUMIFS('Annotated Papers'!I:I, 'Annotated Papers'!A:A,A89)&gt;0,1,0))</f>
        <v>#NAME?</v>
      </c>
      <c r="H89">
        <f ca="1">IF(ISBLANK(A89), "", IF(SUMIFS('Annotated Papers'!L:L, 'Annotated Papers'!A:A,A89)&gt;0,1,0))</f>
        <v>0</v>
      </c>
      <c r="I89" s="24">
        <f ca="1">IF(ISBLANK(A89), "", VLOOKUP(A89,'Annotated Papers'!88:1127,4,FALSE))</f>
        <v>0</v>
      </c>
    </row>
    <row r="90" spans="1:9" ht="14">
      <c r="A90" s="26" t="str">
        <f ca="1">IFERROR(__xludf.DUMMYFUNCTION("""COMPUTED_VALUE"""),"Measuring the quality of Synthetic data for use in competitions")</f>
        <v>Measuring the quality of Synthetic data for use in competitions</v>
      </c>
      <c r="B90" t="str">
        <f ca="1">IF(ISBLANK(A90), "", VLOOKUP(A90,'Annotated Papers'!89:1128,2,FALSE))</f>
        <v>ML4H</v>
      </c>
      <c r="C90" s="24">
        <f ca="1">IF(ISBLANK(A90), "", VLOOKUP(A90,'Annotated Papers'!89:1128,5,FALSE))</f>
        <v>1</v>
      </c>
      <c r="D90">
        <f ca="1">IF(ISBLANK(A90), "", IF(COUNTIF('Annotated Papers'!A:A,A90)&gt;1,1,0))</f>
        <v>0</v>
      </c>
      <c r="E90">
        <f ca="1">IF(ISBLANK(A90), "", IF(SUMIFS('Annotated Papers'!G:G, 'Annotated Papers'!A:A,A90)&gt;0,1,0))</f>
        <v>0</v>
      </c>
      <c r="F90">
        <f ca="1">IF(ISBLANK(A90), "", IF(SUMIFS('Annotated Papers'!H:H, 'Annotated Papers'!A:A,A90)&gt;0,1,0))</f>
        <v>0</v>
      </c>
      <c r="G90" t="e">
        <f ca="1">IF(ISBLANK(A90), "", IF(SUMIFS('Annotated Papers'!I:I, 'Annotated Papers'!A:A,A90)&gt;0,1,0))</f>
        <v>#NAME?</v>
      </c>
      <c r="H90">
        <f ca="1">IF(ISBLANK(A90), "", IF(SUMIFS('Annotated Papers'!L:L, 'Annotated Papers'!A:A,A90)&gt;0,1,0))</f>
        <v>0</v>
      </c>
      <c r="I90" s="24">
        <f ca="1">IF(ISBLANK(A90), "", VLOOKUP(A90,'Annotated Papers'!89:1128,4,FALSE))</f>
        <v>0</v>
      </c>
    </row>
    <row r="91" spans="1:9" ht="14">
      <c r="A91" s="26" t="str">
        <f ca="1">IFERROR(__xludf.DUMMYFUNCTION("""COMPUTED_VALUE"""),"Generating Synthetic but Plausible Healthcare Record Datasets")</f>
        <v>Generating Synthetic but Plausible Healthcare Record Datasets</v>
      </c>
      <c r="B91" t="str">
        <f ca="1">IF(ISBLANK(A91), "", VLOOKUP(A91,'Annotated Papers'!90:1129,2,FALSE))</f>
        <v>ML4H</v>
      </c>
      <c r="C91" s="24">
        <f ca="1">IF(ISBLANK(A91), "", VLOOKUP(A91,'Annotated Papers'!90:1129,5,FALSE))</f>
        <v>1</v>
      </c>
      <c r="D91">
        <f ca="1">IF(ISBLANK(A91), "", IF(COUNTIF('Annotated Papers'!A:A,A91)&gt;1,1,0))</f>
        <v>1</v>
      </c>
      <c r="E91">
        <f ca="1">IF(ISBLANK(A91), "", IF(SUMIFS('Annotated Papers'!G:G, 'Annotated Papers'!A:A,A91)&gt;0,1,0))</f>
        <v>1</v>
      </c>
      <c r="F91">
        <f ca="1">IF(ISBLANK(A91), "", IF(SUMIFS('Annotated Papers'!H:H, 'Annotated Papers'!A:A,A91)&gt;0,1,0))</f>
        <v>1</v>
      </c>
      <c r="G91" t="e">
        <f ca="1">IF(ISBLANK(A91), "", IF(SUMIFS('Annotated Papers'!I:I, 'Annotated Papers'!A:A,A91)&gt;0,1,0))</f>
        <v>#NAME?</v>
      </c>
      <c r="H91">
        <f ca="1">IF(ISBLANK(A91), "", IF(SUMIFS('Annotated Papers'!L:L, 'Annotated Papers'!A:A,A91)&gt;0,1,0))</f>
        <v>0</v>
      </c>
      <c r="I91" s="24">
        <f ca="1">IF(ISBLANK(A91), "", VLOOKUP(A91,'Annotated Papers'!90:1129,4,FALSE))</f>
        <v>0</v>
      </c>
    </row>
    <row r="92" spans="1:9" ht="14">
      <c r="A92" s="26" t="str">
        <f ca="1">IFERROR(__xludf.DUMMYFUNCTION("""COMPUTED_VALUE"""),"Mammography Assessment using Multi-Scale Deep Classifiers")</f>
        <v>Mammography Assessment using Multi-Scale Deep Classifiers</v>
      </c>
      <c r="B92" t="str">
        <f ca="1">IF(ISBLANK(A92), "", VLOOKUP(A92,'Annotated Papers'!91:1130,2,FALSE))</f>
        <v>ML4H</v>
      </c>
      <c r="C92" s="24">
        <f ca="1">IF(ISBLANK(A92), "", VLOOKUP(A92,'Annotated Papers'!91:1130,5,FALSE))</f>
        <v>0</v>
      </c>
      <c r="D92">
        <f ca="1">IF(ISBLANK(A92), "", IF(COUNTIF('Annotated Papers'!A:A,A92)&gt;1,1,0))</f>
        <v>0</v>
      </c>
      <c r="E92">
        <f ca="1">IF(ISBLANK(A92), "", IF(SUMIFS('Annotated Papers'!G:G, 'Annotated Papers'!A:A,A92)&gt;0,1,0))</f>
        <v>0</v>
      </c>
      <c r="F92">
        <f ca="1">IF(ISBLANK(A92), "", IF(SUMIFS('Annotated Papers'!H:H, 'Annotated Papers'!A:A,A92)&gt;0,1,0))</f>
        <v>1</v>
      </c>
      <c r="G92" t="e">
        <f ca="1">IF(ISBLANK(A92), "", IF(SUMIFS('Annotated Papers'!I:I, 'Annotated Papers'!A:A,A92)&gt;0,1,0))</f>
        <v>#NAME?</v>
      </c>
      <c r="H92">
        <f ca="1">IF(ISBLANK(A92), "", IF(SUMIFS('Annotated Papers'!L:L, 'Annotated Papers'!A:A,A92)&gt;0,1,0))</f>
        <v>0</v>
      </c>
      <c r="I92" s="24">
        <f ca="1">IF(ISBLANK(A92), "", VLOOKUP(A92,'Annotated Papers'!91:1130,4,FALSE))</f>
        <v>0</v>
      </c>
    </row>
    <row r="93" spans="1:9" ht="14">
      <c r="A93" s="26" t="str">
        <f ca="1">IFERROR(__xludf.DUMMYFUNCTION("""COMPUTED_VALUE"""),"Synthetic Sampling for Multi-Class Malignancy Prediction")</f>
        <v>Synthetic Sampling for Multi-Class Malignancy Prediction</v>
      </c>
      <c r="B93" t="str">
        <f ca="1">IF(ISBLANK(A93), "", VLOOKUP(A93,'Annotated Papers'!92:1131,2,FALSE))</f>
        <v>ML4H</v>
      </c>
      <c r="C93" s="24">
        <f ca="1">IF(ISBLANK(A93), "", VLOOKUP(A93,'Annotated Papers'!92:1131,5,FALSE))</f>
        <v>0</v>
      </c>
      <c r="D93">
        <f ca="1">IF(ISBLANK(A93), "", IF(COUNTIF('Annotated Papers'!A:A,A93)&gt;1,1,0))</f>
        <v>0</v>
      </c>
      <c r="E93">
        <f ca="1">IF(ISBLANK(A93), "", IF(SUMIFS('Annotated Papers'!G:G, 'Annotated Papers'!A:A,A93)&gt;0,1,0))</f>
        <v>0</v>
      </c>
      <c r="F93">
        <f ca="1">IF(ISBLANK(A93), "", IF(SUMIFS('Annotated Papers'!H:H, 'Annotated Papers'!A:A,A93)&gt;0,1,0))</f>
        <v>1</v>
      </c>
      <c r="G93" t="e">
        <f ca="1">IF(ISBLANK(A93), "", IF(SUMIFS('Annotated Papers'!I:I, 'Annotated Papers'!A:A,A93)&gt;0,1,0))</f>
        <v>#NAME?</v>
      </c>
      <c r="H93">
        <f ca="1">IF(ISBLANK(A93), "", IF(SUMIFS('Annotated Papers'!L:L, 'Annotated Papers'!A:A,A93)&gt;0,1,0))</f>
        <v>0</v>
      </c>
      <c r="I93" s="24">
        <f ca="1">IF(ISBLANK(A93), "", VLOOKUP(A93,'Annotated Papers'!92:1131,4,FALSE))</f>
        <v>0</v>
      </c>
    </row>
    <row r="94" spans="1:9" ht="14">
      <c r="A94" s="26" t="str">
        <f ca="1">IFERROR(__xludf.DUMMYFUNCTION("""COMPUTED_VALUE"""),"PGLasso: Microbial Community Detection through Phylogenetic Graphical Lasso")</f>
        <v>PGLasso: Microbial Community Detection through Phylogenetic Graphical Lasso</v>
      </c>
      <c r="B94" t="str">
        <f ca="1">IF(ISBLANK(A94), "", VLOOKUP(A94,'Annotated Papers'!93:1132,2,FALSE))</f>
        <v>ML4H</v>
      </c>
      <c r="C94" s="24">
        <f ca="1">IF(ISBLANK(A94), "", VLOOKUP(A94,'Annotated Papers'!93:1132,5,FALSE))</f>
        <v>0</v>
      </c>
      <c r="D94">
        <f ca="1">IF(ISBLANK(A94), "", IF(COUNTIF('Annotated Papers'!A:A,A94)&gt;1,1,0))</f>
        <v>0</v>
      </c>
      <c r="E94">
        <f ca="1">IF(ISBLANK(A94), "", IF(SUMIFS('Annotated Papers'!G:G, 'Annotated Papers'!A:A,A94)&gt;0,1,0))</f>
        <v>0</v>
      </c>
      <c r="F94">
        <f ca="1">IF(ISBLANK(A94), "", IF(SUMIFS('Annotated Papers'!H:H, 'Annotated Papers'!A:A,A94)&gt;0,1,0))</f>
        <v>1</v>
      </c>
      <c r="G94" t="e">
        <f ca="1">IF(ISBLANK(A94), "", IF(SUMIFS('Annotated Papers'!I:I, 'Annotated Papers'!A:A,A94)&gt;0,1,0))</f>
        <v>#NAME?</v>
      </c>
      <c r="H94">
        <f ca="1">IF(ISBLANK(A94), "", IF(SUMIFS('Annotated Papers'!L:L, 'Annotated Papers'!A:A,A94)&gt;0,1,0))</f>
        <v>1</v>
      </c>
      <c r="I94" s="24">
        <f ca="1">IF(ISBLANK(A94), "", VLOOKUP(A94,'Annotated Papers'!93:1132,4,FALSE))</f>
        <v>0</v>
      </c>
    </row>
    <row r="95" spans="1:9" ht="14">
      <c r="A95" s="26" t="str">
        <f ca="1">IFERROR(__xludf.DUMMYFUNCTION("""COMPUTED_VALUE"""),"Murmur Detection Using Parallel Recurrent &amp; Convolutional Neural Networks")</f>
        <v>Murmur Detection Using Parallel Recurrent &amp; Convolutional Neural Networks</v>
      </c>
      <c r="B95" t="str">
        <f ca="1">IF(ISBLANK(A95), "", VLOOKUP(A95,'Annotated Papers'!94:1133,2,FALSE))</f>
        <v>ML4H</v>
      </c>
      <c r="C95" s="24">
        <f ca="1">IF(ISBLANK(A95), "", VLOOKUP(A95,'Annotated Papers'!94:1133,5,FALSE))</f>
        <v>0</v>
      </c>
      <c r="D95">
        <f ca="1">IF(ISBLANK(A95), "", IF(COUNTIF('Annotated Papers'!A:A,A95)&gt;1,1,0))</f>
        <v>1</v>
      </c>
      <c r="E95">
        <f ca="1">IF(ISBLANK(A95), "", IF(SUMIFS('Annotated Papers'!G:G, 'Annotated Papers'!A:A,A95)&gt;0,1,0))</f>
        <v>0</v>
      </c>
      <c r="F95">
        <f ca="1">IF(ISBLANK(A95), "", IF(SUMIFS('Annotated Papers'!H:H, 'Annotated Papers'!A:A,A95)&gt;0,1,0))</f>
        <v>1</v>
      </c>
      <c r="G95" t="e">
        <f ca="1">IF(ISBLANK(A95), "", IF(SUMIFS('Annotated Papers'!I:I, 'Annotated Papers'!A:A,A95)&gt;0,1,0))</f>
        <v>#NAME?</v>
      </c>
      <c r="H95">
        <f ca="1">IF(ISBLANK(A95), "", IF(SUMIFS('Annotated Papers'!L:L, 'Annotated Papers'!A:A,A95)&gt;0,1,0))</f>
        <v>1</v>
      </c>
      <c r="I95" s="24">
        <f ca="1">IF(ISBLANK(A95), "", VLOOKUP(A95,'Annotated Papers'!94:1133,4,FALSE))</f>
        <v>0</v>
      </c>
    </row>
    <row r="96" spans="1:9" ht="14">
      <c r="A96" s="26" t="str">
        <f ca="1">IFERROR(__xludf.DUMMYFUNCTION("""COMPUTED_VALUE"""),"From Text to Topics in Healthcare Records: An Unsupervised Graph Partitioning Methodology")</f>
        <v>From Text to Topics in Healthcare Records: An Unsupervised Graph Partitioning Methodology</v>
      </c>
      <c r="B96" t="str">
        <f ca="1">IF(ISBLANK(A96), "", VLOOKUP(A96,'Annotated Papers'!95:1134,2,FALSE))</f>
        <v>ML4H</v>
      </c>
      <c r="C96" s="24">
        <f ca="1">IF(ISBLANK(A96), "", VLOOKUP(A96,'Annotated Papers'!95:1134,5,FALSE))</f>
        <v>0</v>
      </c>
      <c r="D96">
        <f ca="1">IF(ISBLANK(A96), "", IF(COUNTIF('Annotated Papers'!A:A,A96)&gt;1,1,0))</f>
        <v>0</v>
      </c>
      <c r="E96">
        <f ca="1">IF(ISBLANK(A96), "", IF(SUMIFS('Annotated Papers'!G:G, 'Annotated Papers'!A:A,A96)&gt;0,1,0))</f>
        <v>0</v>
      </c>
      <c r="F96">
        <f ca="1">IF(ISBLANK(A96), "", IF(SUMIFS('Annotated Papers'!H:H, 'Annotated Papers'!A:A,A96)&gt;0,1,0))</f>
        <v>1</v>
      </c>
      <c r="G96" t="e">
        <f ca="1">IF(ISBLANK(A96), "", IF(SUMIFS('Annotated Papers'!I:I, 'Annotated Papers'!A:A,A96)&gt;0,1,0))</f>
        <v>#NAME?</v>
      </c>
      <c r="H96">
        <f ca="1">IF(ISBLANK(A96), "", IF(SUMIFS('Annotated Papers'!L:L, 'Annotated Papers'!A:A,A96)&gt;0,1,0))</f>
        <v>0</v>
      </c>
      <c r="I96" s="24">
        <f ca="1">IF(ISBLANK(A96), "", VLOOKUP(A96,'Annotated Papers'!95:1134,4,FALSE))</f>
        <v>0</v>
      </c>
    </row>
    <row r="97" spans="1:9" ht="14">
      <c r="A97" s="25" t="str">
        <f ca="1">IFERROR(__xludf.DUMMYFUNCTION("""COMPUTED_VALUE"""),"Measuring Depression Symptom Severity from Spoken Language and 3D Facial Expressions")</f>
        <v>Measuring Depression Symptom Severity from Spoken Language and 3D Facial Expressions</v>
      </c>
      <c r="B97" t="str">
        <f ca="1">IF(ISBLANK(A97), "", VLOOKUP(A97,'Annotated Papers'!96:1135,2,FALSE))</f>
        <v>ML4H</v>
      </c>
      <c r="C97" s="24">
        <f ca="1">IF(ISBLANK(A97), "", VLOOKUP(A97,'Annotated Papers'!96:1135,5,FALSE))</f>
        <v>0</v>
      </c>
      <c r="D97">
        <f ca="1">IF(ISBLANK(A97), "", IF(COUNTIF('Annotated Papers'!A:A,A97)&gt;1,1,0))</f>
        <v>0</v>
      </c>
      <c r="E97">
        <f ca="1">IF(ISBLANK(A97), "", IF(SUMIFS('Annotated Papers'!G:G, 'Annotated Papers'!A:A,A97)&gt;0,1,0))</f>
        <v>1</v>
      </c>
      <c r="F97">
        <f ca="1">IF(ISBLANK(A97), "", IF(SUMIFS('Annotated Papers'!H:H, 'Annotated Papers'!A:A,A97)&gt;0,1,0))</f>
        <v>1</v>
      </c>
      <c r="G97" t="e">
        <f ca="1">IF(ISBLANK(A97), "", IF(SUMIFS('Annotated Papers'!I:I, 'Annotated Papers'!A:A,A97)&gt;0,1,0))</f>
        <v>#NAME?</v>
      </c>
      <c r="H97">
        <f ca="1">IF(ISBLANK(A97), "", IF(SUMIFS('Annotated Papers'!L:L, 'Annotated Papers'!A:A,A97)&gt;0,1,0))</f>
        <v>0</v>
      </c>
      <c r="I97" s="24">
        <f ca="1">IF(ISBLANK(A97), "", VLOOKUP(A97,'Annotated Papers'!96:1135,4,FALSE))</f>
        <v>0</v>
      </c>
    </row>
    <row r="98" spans="1:9" ht="14">
      <c r="A98" s="25" t="str">
        <f ca="1">IFERROR(__xludf.DUMMYFUNCTION("""COMPUTED_VALUE"""),"What is Interpretable? Using Machine Learning to Design Interpretable Decision-Support Systems")</f>
        <v>What is Interpretable? Using Machine Learning to Design Interpretable Decision-Support Systems</v>
      </c>
      <c r="B98" t="str">
        <f ca="1">IF(ISBLANK(A98), "", VLOOKUP(A98,'Annotated Papers'!97:1136,2,FALSE))</f>
        <v>ML4H</v>
      </c>
      <c r="C98" s="24">
        <f ca="1">IF(ISBLANK(A98), "", VLOOKUP(A98,'Annotated Papers'!97:1136,5,FALSE))</f>
        <v>0</v>
      </c>
      <c r="D98">
        <f ca="1">IF(ISBLANK(A98), "", IF(COUNTIF('Annotated Papers'!A:A,A98)&gt;1,1,0))</f>
        <v>0</v>
      </c>
      <c r="E98">
        <f ca="1">IF(ISBLANK(A98), "", IF(SUMIFS('Annotated Papers'!G:G, 'Annotated Papers'!A:A,A98)&gt;0,1,0))</f>
        <v>0</v>
      </c>
      <c r="F98">
        <f ca="1">IF(ISBLANK(A98), "", IF(SUMIFS('Annotated Papers'!H:H, 'Annotated Papers'!A:A,A98)&gt;0,1,0))</f>
        <v>0</v>
      </c>
      <c r="G98">
        <f ca="1">IF(ISBLANK(A98), "", IF(SUMIFS('Annotated Papers'!I:I, 'Annotated Papers'!A:A,A98)&gt;0,1,0))</f>
        <v>0</v>
      </c>
      <c r="H98">
        <f ca="1">IF(ISBLANK(A98), "", IF(SUMIFS('Annotated Papers'!L:L, 'Annotated Papers'!A:A,A98)&gt;0,1,0))</f>
        <v>0</v>
      </c>
      <c r="I98" s="24">
        <f ca="1">IF(ISBLANK(A98), "", VLOOKUP(A98,'Annotated Papers'!97:1136,4,FALSE))</f>
        <v>0</v>
      </c>
    </row>
    <row r="99" spans="1:9" ht="14">
      <c r="A99" s="25" t="str">
        <f ca="1">IFERROR(__xludf.DUMMYFUNCTION("""COMPUTED_VALUE"""),"Natural language understanding for task oriented dialog in the biomedical domain in a low resources context")</f>
        <v>Natural language understanding for task oriented dialog in the biomedical domain in a low resources context</v>
      </c>
      <c r="B99" t="str">
        <f ca="1">IF(ISBLANK(A99), "", VLOOKUP(A99,'Annotated Papers'!98:1137,2,FALSE))</f>
        <v>ML4H</v>
      </c>
      <c r="C99" s="24">
        <f ca="1">IF(ISBLANK(A99), "", VLOOKUP(A99,'Annotated Papers'!98:1137,5,FALSE))</f>
        <v>0</v>
      </c>
      <c r="D99">
        <f ca="1">IF(ISBLANK(A99), "", IF(COUNTIF('Annotated Papers'!A:A,A99)&gt;1,1,0))</f>
        <v>0</v>
      </c>
      <c r="E99">
        <f ca="1">IF(ISBLANK(A99), "", IF(SUMIFS('Annotated Papers'!G:G, 'Annotated Papers'!A:A,A99)&gt;0,1,0))</f>
        <v>1</v>
      </c>
      <c r="F99">
        <f ca="1">IF(ISBLANK(A99), "", IF(SUMIFS('Annotated Papers'!H:H, 'Annotated Papers'!A:A,A99)&gt;0,1,0))</f>
        <v>0</v>
      </c>
      <c r="G99" t="e">
        <f ca="1">IF(ISBLANK(A99), "", IF(SUMIFS('Annotated Papers'!I:I, 'Annotated Papers'!A:A,A99)&gt;0,1,0))</f>
        <v>#NAME?</v>
      </c>
      <c r="H99">
        <f ca="1">IF(ISBLANK(A99), "", IF(SUMIFS('Annotated Papers'!L:L, 'Annotated Papers'!A:A,A99)&gt;0,1,0))</f>
        <v>1</v>
      </c>
      <c r="I99" s="24">
        <f ca="1">IF(ISBLANK(A99), "", VLOOKUP(A99,'Annotated Papers'!98:1137,4,FALSE))</f>
        <v>0</v>
      </c>
    </row>
    <row r="100" spans="1:9" ht="14">
      <c r="A100" s="25" t="str">
        <f ca="1">IFERROR(__xludf.DUMMYFUNCTION("""COMPUTED_VALUE"""),"Clinical Concept Extraction with Contextual Word Embedding")</f>
        <v>Clinical Concept Extraction with Contextual Word Embedding</v>
      </c>
      <c r="B100" t="str">
        <f ca="1">IF(ISBLANK(A100), "", VLOOKUP(A100,'Annotated Papers'!99:1138,2,FALSE))</f>
        <v>ML4H</v>
      </c>
      <c r="C100" s="24">
        <f ca="1">IF(ISBLANK(A100), "", VLOOKUP(A100,'Annotated Papers'!99:1138,5,FALSE))</f>
        <v>1</v>
      </c>
      <c r="D100">
        <f ca="1">IF(ISBLANK(A100), "", IF(COUNTIF('Annotated Papers'!A:A,A100)&gt;1,1,0))</f>
        <v>0</v>
      </c>
      <c r="E100">
        <f ca="1">IF(ISBLANK(A100), "", IF(SUMIFS('Annotated Papers'!G:G, 'Annotated Papers'!A:A,A100)&gt;0,1,0))</f>
        <v>0</v>
      </c>
      <c r="F100">
        <f ca="1">IF(ISBLANK(A100), "", IF(SUMIFS('Annotated Papers'!H:H, 'Annotated Papers'!A:A,A100)&gt;0,1,0))</f>
        <v>1</v>
      </c>
      <c r="G100" t="e">
        <f ca="1">IF(ISBLANK(A100), "", IF(SUMIFS('Annotated Papers'!I:I, 'Annotated Papers'!A:A,A100)&gt;0,1,0))</f>
        <v>#NAME?</v>
      </c>
      <c r="H100">
        <f ca="1">IF(ISBLANK(A100), "", IF(SUMIFS('Annotated Papers'!L:L, 'Annotated Papers'!A:A,A100)&gt;0,1,0))</f>
        <v>1</v>
      </c>
      <c r="I100" s="24">
        <f ca="1">IF(ISBLANK(A100), "", VLOOKUP(A100,'Annotated Papers'!99:1138,4,FALSE))</f>
        <v>0</v>
      </c>
    </row>
    <row r="101" spans="1:9" ht="14">
      <c r="A101" s="25" t="str">
        <f ca="1">IFERROR(__xludf.DUMMYFUNCTION("""COMPUTED_VALUE"""),"MATCH-Net: Dynamic Prediction in Survival Analysis using Convolutional Neural Networks")</f>
        <v>MATCH-Net: Dynamic Prediction in Survival Analysis using Convolutional Neural Networks</v>
      </c>
      <c r="B101" t="str">
        <f ca="1">IF(ISBLANK(A101), "", VLOOKUP(A101,'Annotated Papers'!100:1139,2,FALSE))</f>
        <v>ML4H</v>
      </c>
      <c r="C101" s="24">
        <f ca="1">IF(ISBLANK(A101), "", VLOOKUP(A101,'Annotated Papers'!100:1139,5,FALSE))</f>
        <v>0</v>
      </c>
      <c r="D101">
        <f ca="1">IF(ISBLANK(A101), "", IF(COUNTIF('Annotated Papers'!A:A,A101)&gt;1,1,0))</f>
        <v>0</v>
      </c>
      <c r="E101">
        <f ca="1">IF(ISBLANK(A101), "", IF(SUMIFS('Annotated Papers'!G:G, 'Annotated Papers'!A:A,A101)&gt;0,1,0))</f>
        <v>1</v>
      </c>
      <c r="F101">
        <f ca="1">IF(ISBLANK(A101), "", IF(SUMIFS('Annotated Papers'!H:H, 'Annotated Papers'!A:A,A101)&gt;0,1,0))</f>
        <v>1</v>
      </c>
      <c r="G101" t="e">
        <f ca="1">IF(ISBLANK(A101), "", IF(SUMIFS('Annotated Papers'!I:I, 'Annotated Papers'!A:A,A101)&gt;0,1,0))</f>
        <v>#NAME?</v>
      </c>
      <c r="H101">
        <f ca="1">IF(ISBLANK(A101), "", IF(SUMIFS('Annotated Papers'!L:L, 'Annotated Papers'!A:A,A101)&gt;0,1,0))</f>
        <v>0</v>
      </c>
      <c r="I101" s="24">
        <f ca="1">IF(ISBLANK(A101), "", VLOOKUP(A101,'Annotated Papers'!100:1139,4,FALSE))</f>
        <v>0</v>
      </c>
    </row>
    <row r="102" spans="1:9" ht="14">
      <c r="A102" s="25" t="str">
        <f ca="1">IFERROR(__xludf.DUMMYFUNCTION("""COMPUTED_VALUE"""),"Disease phenotyping using deep learning: A diabetes case study")</f>
        <v>Disease phenotyping using deep learning: A diabetes case study</v>
      </c>
      <c r="B102" t="str">
        <f ca="1">IF(ISBLANK(A102), "", VLOOKUP(A102,'Annotated Papers'!101:1140,2,FALSE))</f>
        <v>ML4H</v>
      </c>
      <c r="C102" s="24">
        <f ca="1">IF(ISBLANK(A102), "", VLOOKUP(A102,'Annotated Papers'!101:1140,5,FALSE))</f>
        <v>0</v>
      </c>
      <c r="D102">
        <f ca="1">IF(ISBLANK(A102), "", IF(COUNTIF('Annotated Papers'!A:A,A102)&gt;1,1,0))</f>
        <v>0</v>
      </c>
      <c r="E102">
        <f ca="1">IF(ISBLANK(A102), "", IF(SUMIFS('Annotated Papers'!G:G, 'Annotated Papers'!A:A,A102)&gt;0,1,0))</f>
        <v>1</v>
      </c>
      <c r="F102">
        <f ca="1">IF(ISBLANK(A102), "", IF(SUMIFS('Annotated Papers'!H:H, 'Annotated Papers'!A:A,A102)&gt;0,1,0))</f>
        <v>0</v>
      </c>
      <c r="G102" t="e">
        <f ca="1">IF(ISBLANK(A102), "", IF(SUMIFS('Annotated Papers'!I:I, 'Annotated Papers'!A:A,A102)&gt;0,1,0))</f>
        <v>#NAME?</v>
      </c>
      <c r="H102">
        <f ca="1">IF(ISBLANK(A102), "", IF(SUMIFS('Annotated Papers'!L:L, 'Annotated Papers'!A:A,A102)&gt;0,1,0))</f>
        <v>0</v>
      </c>
      <c r="I102" s="24">
        <f ca="1">IF(ISBLANK(A102), "", VLOOKUP(A102,'Annotated Papers'!101:1140,4,FALSE))</f>
        <v>0</v>
      </c>
    </row>
    <row r="103" spans="1:9" ht="14">
      <c r="A103" s="25" t="str">
        <f ca="1">IFERROR(__xludf.DUMMYFUNCTION("""COMPUTED_VALUE"""),"Glottal Closure Instants Detection From Pathological Acoustic Speech Signal Using Deep Learning")</f>
        <v>Glottal Closure Instants Detection From Pathological Acoustic Speech Signal Using Deep Learning</v>
      </c>
      <c r="B103" t="str">
        <f ca="1">IF(ISBLANK(A103), "", VLOOKUP(A103,'Annotated Papers'!102:1141,2,FALSE))</f>
        <v>ML4H</v>
      </c>
      <c r="C103" s="24">
        <f ca="1">IF(ISBLANK(A103), "", VLOOKUP(A103,'Annotated Papers'!102:1141,5,FALSE))</f>
        <v>0</v>
      </c>
      <c r="D103">
        <f ca="1">IF(ISBLANK(A103), "", IF(COUNTIF('Annotated Papers'!A:A,A103)&gt;1,1,0))</f>
        <v>0</v>
      </c>
      <c r="E103">
        <f ca="1">IF(ISBLANK(A103), "", IF(SUMIFS('Annotated Papers'!G:G, 'Annotated Papers'!A:A,A103)&gt;0,1,0))</f>
        <v>1</v>
      </c>
      <c r="F103">
        <f ca="1">IF(ISBLANK(A103), "", IF(SUMIFS('Annotated Papers'!H:H, 'Annotated Papers'!A:A,A103)&gt;0,1,0))</f>
        <v>0</v>
      </c>
      <c r="G103">
        <f ca="1">IF(ISBLANK(A103), "", IF(SUMIFS('Annotated Papers'!I:I, 'Annotated Papers'!A:A,A103)&gt;0,1,0))</f>
        <v>0</v>
      </c>
      <c r="H103">
        <f ca="1">IF(ISBLANK(A103), "", IF(SUMIFS('Annotated Papers'!L:L, 'Annotated Papers'!A:A,A103)&gt;0,1,0))</f>
        <v>0</v>
      </c>
      <c r="I103" s="24">
        <f ca="1">IF(ISBLANK(A103), "", VLOOKUP(A103,'Annotated Papers'!102:1141,4,FALSE))</f>
        <v>0</v>
      </c>
    </row>
    <row r="104" spans="1:9" ht="14">
      <c r="A104" s="25" t="str">
        <f ca="1">IFERROR(__xludf.DUMMYFUNCTION("""COMPUTED_VALUE"""),"Model-Based Reinforcement Learning for Sepsis Treatment")</f>
        <v>Model-Based Reinforcement Learning for Sepsis Treatment</v>
      </c>
      <c r="B104" t="str">
        <f ca="1">IF(ISBLANK(A104), "", VLOOKUP(A104,'Annotated Papers'!103:1142,2,FALSE))</f>
        <v>ML4H</v>
      </c>
      <c r="C104" s="24">
        <f ca="1">IF(ISBLANK(A104), "", VLOOKUP(A104,'Annotated Papers'!103:1142,5,FALSE))</f>
        <v>0</v>
      </c>
      <c r="D104">
        <f ca="1">IF(ISBLANK(A104), "", IF(COUNTIF('Annotated Papers'!A:A,A104)&gt;1,1,0))</f>
        <v>0</v>
      </c>
      <c r="E104">
        <f ca="1">IF(ISBLANK(A104), "", IF(SUMIFS('Annotated Papers'!G:G, 'Annotated Papers'!A:A,A104)&gt;0,1,0))</f>
        <v>1</v>
      </c>
      <c r="F104">
        <f ca="1">IF(ISBLANK(A104), "", IF(SUMIFS('Annotated Papers'!H:H, 'Annotated Papers'!A:A,A104)&gt;0,1,0))</f>
        <v>1</v>
      </c>
      <c r="G104" t="e">
        <f ca="1">IF(ISBLANK(A104), "", IF(SUMIFS('Annotated Papers'!I:I, 'Annotated Papers'!A:A,A104)&gt;0,1,0))</f>
        <v>#NAME?</v>
      </c>
      <c r="H104">
        <f ca="1">IF(ISBLANK(A104), "", IF(SUMIFS('Annotated Papers'!L:L, 'Annotated Papers'!A:A,A104)&gt;0,1,0))</f>
        <v>0</v>
      </c>
      <c r="I104" s="24">
        <f ca="1">IF(ISBLANK(A104), "", VLOOKUP(A104,'Annotated Papers'!103:1142,4,FALSE))</f>
        <v>0</v>
      </c>
    </row>
    <row r="105" spans="1:9" ht="14">
      <c r="A105" s="25" t="str">
        <f ca="1">IFERROR(__xludf.DUMMYFUNCTION("""COMPUTED_VALUE"""),"Patchnet: Interpretable Neural Networks for Image Classification")</f>
        <v>Patchnet: Interpretable Neural Networks for Image Classification</v>
      </c>
      <c r="B105" t="str">
        <f ca="1">IF(ISBLANK(A105), "", VLOOKUP(A105,'Annotated Papers'!104:1143,2,FALSE))</f>
        <v>ML4H</v>
      </c>
      <c r="C105" s="24">
        <f ca="1">IF(ISBLANK(A105), "", VLOOKUP(A105,'Annotated Papers'!104:1143,5,FALSE))</f>
        <v>0</v>
      </c>
      <c r="D105">
        <f ca="1">IF(ISBLANK(A105), "", IF(COUNTIF('Annotated Papers'!A:A,A105)&gt;1,1,0))</f>
        <v>0</v>
      </c>
      <c r="E105">
        <f ca="1">IF(ISBLANK(A105), "", IF(SUMIFS('Annotated Papers'!G:G, 'Annotated Papers'!A:A,A105)&gt;0,1,0))</f>
        <v>1</v>
      </c>
      <c r="F105">
        <f ca="1">IF(ISBLANK(A105), "", IF(SUMIFS('Annotated Papers'!H:H, 'Annotated Papers'!A:A,A105)&gt;0,1,0))</f>
        <v>1</v>
      </c>
      <c r="G105" t="e">
        <f ca="1">IF(ISBLANK(A105), "", IF(SUMIFS('Annotated Papers'!I:I, 'Annotated Papers'!A:A,A105)&gt;0,1,0))</f>
        <v>#NAME?</v>
      </c>
      <c r="H105">
        <f ca="1">IF(ISBLANK(A105), "", IF(SUMIFS('Annotated Papers'!L:L, 'Annotated Papers'!A:A,A105)&gt;0,1,0))</f>
        <v>0</v>
      </c>
      <c r="I105" s="24">
        <f ca="1">IF(ISBLANK(A105), "", VLOOKUP(A105,'Annotated Papers'!104:1143,4,FALSE))</f>
        <v>0</v>
      </c>
    </row>
    <row r="106" spans="1:9" ht="14">
      <c r="A106" s="25" t="str">
        <f ca="1">IFERROR(__xludf.DUMMYFUNCTION("""COMPUTED_VALUE"""),"Large-scale Generative Modeling to Improve Automated Veterinary Disease Coding")</f>
        <v>Large-scale Generative Modeling to Improve Automated Veterinary Disease Coding</v>
      </c>
      <c r="B106" t="str">
        <f ca="1">IF(ISBLANK(A106), "", VLOOKUP(A106,'Annotated Papers'!105:1144,2,FALSE))</f>
        <v>ML4H</v>
      </c>
      <c r="C106" s="24">
        <f ca="1">IF(ISBLANK(A106), "", VLOOKUP(A106,'Annotated Papers'!105:1144,5,FALSE))</f>
        <v>0</v>
      </c>
      <c r="D106">
        <f ca="1">IF(ISBLANK(A106), "", IF(COUNTIF('Annotated Papers'!A:A,A106)&gt;1,1,0))</f>
        <v>0</v>
      </c>
      <c r="E106">
        <f ca="1">IF(ISBLANK(A106), "", IF(SUMIFS('Annotated Papers'!G:G, 'Annotated Papers'!A:A,A106)&gt;0,1,0))</f>
        <v>1</v>
      </c>
      <c r="F106">
        <f ca="1">IF(ISBLANK(A106), "", IF(SUMIFS('Annotated Papers'!H:H, 'Annotated Papers'!A:A,A106)&gt;0,1,0))</f>
        <v>0</v>
      </c>
      <c r="G106" t="e">
        <f ca="1">IF(ISBLANK(A106), "", IF(SUMIFS('Annotated Papers'!I:I, 'Annotated Papers'!A:A,A106)&gt;0,1,0))</f>
        <v>#NAME?</v>
      </c>
      <c r="H106">
        <f ca="1">IF(ISBLANK(A106), "", IF(SUMIFS('Annotated Papers'!L:L, 'Annotated Papers'!A:A,A106)&gt;0,1,0))</f>
        <v>0</v>
      </c>
      <c r="I106" s="24">
        <f ca="1">IF(ISBLANK(A106), "", VLOOKUP(A106,'Annotated Papers'!105:1144,4,FALSE))</f>
        <v>0</v>
      </c>
    </row>
    <row r="107" spans="1:9" ht="14">
      <c r="A107" s="25" t="str">
        <f ca="1">IFERROR(__xludf.DUMMYFUNCTION("""COMPUTED_VALUE"""),"Group induced graphical lasso allows for discovery of molecular pathways-pathways interactions")</f>
        <v>Group induced graphical lasso allows for discovery of molecular pathways-pathways interactions</v>
      </c>
      <c r="B107" t="str">
        <f ca="1">IF(ISBLANK(A107), "", VLOOKUP(A107,'Annotated Papers'!106:1145,2,FALSE))</f>
        <v>ML4H</v>
      </c>
      <c r="C107" s="24">
        <f ca="1">IF(ISBLANK(A107), "", VLOOKUP(A107,'Annotated Papers'!106:1145,5,FALSE))</f>
        <v>0</v>
      </c>
      <c r="D107">
        <f ca="1">IF(ISBLANK(A107), "", IF(COUNTIF('Annotated Papers'!A:A,A107)&gt;1,1,0))</f>
        <v>0</v>
      </c>
      <c r="E107">
        <f ca="1">IF(ISBLANK(A107), "", IF(SUMIFS('Annotated Papers'!G:G, 'Annotated Papers'!A:A,A107)&gt;0,1,0))</f>
        <v>1</v>
      </c>
      <c r="F107">
        <f ca="1">IF(ISBLANK(A107), "", IF(SUMIFS('Annotated Papers'!H:H, 'Annotated Papers'!A:A,A107)&gt;0,1,0))</f>
        <v>1</v>
      </c>
      <c r="G107" t="e">
        <f ca="1">IF(ISBLANK(A107), "", IF(SUMIFS('Annotated Papers'!I:I, 'Annotated Papers'!A:A,A107)&gt;0,1,0))</f>
        <v>#NAME?</v>
      </c>
      <c r="H107">
        <f ca="1">IF(ISBLANK(A107), "", IF(SUMIFS('Annotated Papers'!L:L, 'Annotated Papers'!A:A,A107)&gt;0,1,0))</f>
        <v>0</v>
      </c>
      <c r="I107" s="24">
        <f ca="1">IF(ISBLANK(A107), "", VLOOKUP(A107,'Annotated Papers'!106:1145,4,FALSE))</f>
        <v>0</v>
      </c>
    </row>
    <row r="108" spans="1:9" ht="14">
      <c r="A108" s="25" t="str">
        <f ca="1">IFERROR(__xludf.DUMMYFUNCTION("""COMPUTED_VALUE"""),"A Framework for Implementing Machine Learning on Omics Data")</f>
        <v>A Framework for Implementing Machine Learning on Omics Data</v>
      </c>
      <c r="B108" t="str">
        <f ca="1">IF(ISBLANK(A108), "", VLOOKUP(A108,'Annotated Papers'!107:1146,2,FALSE))</f>
        <v>ML4H</v>
      </c>
      <c r="C108" s="24">
        <f ca="1">IF(ISBLANK(A108), "", VLOOKUP(A108,'Annotated Papers'!107:1146,5,FALSE))</f>
        <v>1</v>
      </c>
      <c r="D108">
        <f ca="1">IF(ISBLANK(A108), "", IF(COUNTIF('Annotated Papers'!A:A,A108)&gt;1,1,0))</f>
        <v>1</v>
      </c>
      <c r="E108">
        <f ca="1">IF(ISBLANK(A108), "", IF(SUMIFS('Annotated Papers'!G:G, 'Annotated Papers'!A:A,A108)&gt;0,1,0))</f>
        <v>0</v>
      </c>
      <c r="F108">
        <f ca="1">IF(ISBLANK(A108), "", IF(SUMIFS('Annotated Papers'!H:H, 'Annotated Papers'!A:A,A108)&gt;0,1,0))</f>
        <v>1</v>
      </c>
      <c r="G108" t="e">
        <f ca="1">IF(ISBLANK(A108), "", IF(SUMIFS('Annotated Papers'!I:I, 'Annotated Papers'!A:A,A108)&gt;0,1,0))</f>
        <v>#NAME?</v>
      </c>
      <c r="H108">
        <f ca="1">IF(ISBLANK(A108), "", IF(SUMIFS('Annotated Papers'!L:L, 'Annotated Papers'!A:A,A108)&gt;0,1,0))</f>
        <v>0</v>
      </c>
      <c r="I108" s="24">
        <f ca="1">IF(ISBLANK(A108), "", VLOOKUP(A108,'Annotated Papers'!107:1146,4,FALSE))</f>
        <v>0</v>
      </c>
    </row>
    <row r="109" spans="1:9" ht="14">
      <c r="A109" s="25" t="str">
        <f ca="1">IFERROR(__xludf.DUMMYFUNCTION("""COMPUTED_VALUE"""),"Population-aware Hierarchical Bayesian Domain Adaptation")</f>
        <v>Population-aware Hierarchical Bayesian Domain Adaptation</v>
      </c>
      <c r="B109" t="str">
        <f ca="1">IF(ISBLANK(A109), "", VLOOKUP(A109,'Annotated Papers'!108:1147,2,FALSE))</f>
        <v>ML4H</v>
      </c>
      <c r="C109" s="24">
        <f ca="1">IF(ISBLANK(A109), "", VLOOKUP(A109,'Annotated Papers'!108:1147,5,FALSE))</f>
        <v>0</v>
      </c>
      <c r="D109">
        <f ca="1">IF(ISBLANK(A109), "", IF(COUNTIF('Annotated Papers'!A:A,A109)&gt;1,1,0))</f>
        <v>1</v>
      </c>
      <c r="E109">
        <f ca="1">IF(ISBLANK(A109), "", IF(SUMIFS('Annotated Papers'!G:G, 'Annotated Papers'!A:A,A109)&gt;0,1,0))</f>
        <v>1</v>
      </c>
      <c r="F109">
        <f ca="1">IF(ISBLANK(A109), "", IF(SUMIFS('Annotated Papers'!H:H, 'Annotated Papers'!A:A,A109)&gt;0,1,0))</f>
        <v>0</v>
      </c>
      <c r="G109" t="e">
        <f ca="1">IF(ISBLANK(A109), "", IF(SUMIFS('Annotated Papers'!I:I, 'Annotated Papers'!A:A,A109)&gt;0,1,0))</f>
        <v>#NAME?</v>
      </c>
      <c r="H109">
        <f ca="1">IF(ISBLANK(A109), "", IF(SUMIFS('Annotated Papers'!L:L, 'Annotated Papers'!A:A,A109)&gt;0,1,0))</f>
        <v>0</v>
      </c>
      <c r="I109" s="24">
        <f ca="1">IF(ISBLANK(A109), "", VLOOKUP(A109,'Annotated Papers'!108:1147,4,FALSE))</f>
        <v>0</v>
      </c>
    </row>
    <row r="110" spans="1:9" ht="14">
      <c r="A110" s="25" t="str">
        <f ca="1">IFERROR(__xludf.DUMMYFUNCTION("""COMPUTED_VALUE"""),"Modeling Irregularly Sampled Clinical Time Series")</f>
        <v>Modeling Irregularly Sampled Clinical Time Series</v>
      </c>
      <c r="B110" t="str">
        <f ca="1">IF(ISBLANK(A110), "", VLOOKUP(A110,'Annotated Papers'!109:1148,2,FALSE))</f>
        <v>ML4H</v>
      </c>
      <c r="C110" s="24">
        <f ca="1">IF(ISBLANK(A110), "", VLOOKUP(A110,'Annotated Papers'!109:1148,5,FALSE))</f>
        <v>0</v>
      </c>
      <c r="D110">
        <f ca="1">IF(ISBLANK(A110), "", IF(COUNTIF('Annotated Papers'!A:A,A110)&gt;1,1,0))</f>
        <v>0</v>
      </c>
      <c r="E110">
        <f ca="1">IF(ISBLANK(A110), "", IF(SUMIFS('Annotated Papers'!G:G, 'Annotated Papers'!A:A,A110)&gt;0,1,0))</f>
        <v>1</v>
      </c>
      <c r="F110">
        <f ca="1">IF(ISBLANK(A110), "", IF(SUMIFS('Annotated Papers'!H:H, 'Annotated Papers'!A:A,A110)&gt;0,1,0))</f>
        <v>1</v>
      </c>
      <c r="G110" t="e">
        <f ca="1">IF(ISBLANK(A110), "", IF(SUMIFS('Annotated Papers'!I:I, 'Annotated Papers'!A:A,A110)&gt;0,1,0))</f>
        <v>#NAME?</v>
      </c>
      <c r="H110">
        <f ca="1">IF(ISBLANK(A110), "", IF(SUMIFS('Annotated Papers'!L:L, 'Annotated Papers'!A:A,A110)&gt;0,1,0))</f>
        <v>1</v>
      </c>
      <c r="I110" s="24">
        <f ca="1">IF(ISBLANK(A110), "", VLOOKUP(A110,'Annotated Papers'!109:1148,4,FALSE))</f>
        <v>0</v>
      </c>
    </row>
    <row r="111" spans="1:9" ht="14">
      <c r="A111" s="25" t="str">
        <f ca="1">IFERROR(__xludf.DUMMYFUNCTION("""COMPUTED_VALUE"""),"Dynamic Measurement Scheduling for Adverse Event Forecasting using Deep RL")</f>
        <v>Dynamic Measurement Scheduling for Adverse Event Forecasting using Deep RL</v>
      </c>
      <c r="B111" t="str">
        <f ca="1">IF(ISBLANK(A111), "", VLOOKUP(A111,'Annotated Papers'!110:1149,2,FALSE))</f>
        <v>ML4H</v>
      </c>
      <c r="C111" s="24">
        <f ca="1">IF(ISBLANK(A111), "", VLOOKUP(A111,'Annotated Papers'!110:1149,5,FALSE))</f>
        <v>0</v>
      </c>
      <c r="D111">
        <f ca="1">IF(ISBLANK(A111), "", IF(COUNTIF('Annotated Papers'!A:A,A111)&gt;1,1,0))</f>
        <v>0</v>
      </c>
      <c r="E111">
        <f ca="1">IF(ISBLANK(A111), "", IF(SUMIFS('Annotated Papers'!G:G, 'Annotated Papers'!A:A,A111)&gt;0,1,0))</f>
        <v>1</v>
      </c>
      <c r="F111">
        <f ca="1">IF(ISBLANK(A111), "", IF(SUMIFS('Annotated Papers'!H:H, 'Annotated Papers'!A:A,A111)&gt;0,1,0))</f>
        <v>1</v>
      </c>
      <c r="G111" t="e">
        <f ca="1">IF(ISBLANK(A111), "", IF(SUMIFS('Annotated Papers'!I:I, 'Annotated Papers'!A:A,A111)&gt;0,1,0))</f>
        <v>#NAME?</v>
      </c>
      <c r="H111">
        <f ca="1">IF(ISBLANK(A111), "", IF(SUMIFS('Annotated Papers'!L:L, 'Annotated Papers'!A:A,A111)&gt;0,1,0))</f>
        <v>0</v>
      </c>
      <c r="I111" s="24">
        <f ca="1">IF(ISBLANK(A111), "", VLOOKUP(A111,'Annotated Papers'!110:1149,4,FALSE))</f>
        <v>0</v>
      </c>
    </row>
    <row r="112" spans="1:9" ht="14">
      <c r="A112" s="25" t="str">
        <f ca="1">IFERROR(__xludf.DUMMYFUNCTION("""COMPUTED_VALUE"""),"Privacy-Preserving Action Recognition for Smart Hospitals using Low-Resolution Depth Images")</f>
        <v>Privacy-Preserving Action Recognition for Smart Hospitals using Low-Resolution Depth Images</v>
      </c>
      <c r="B112" t="str">
        <f ca="1">IF(ISBLANK(A112), "", VLOOKUP(A112,'Annotated Papers'!111:1150,2,FALSE))</f>
        <v>ML4H</v>
      </c>
      <c r="C112" s="24">
        <f ca="1">IF(ISBLANK(A112), "", VLOOKUP(A112,'Annotated Papers'!111:1150,5,FALSE))</f>
        <v>0</v>
      </c>
      <c r="D112">
        <f ca="1">IF(ISBLANK(A112), "", IF(COUNTIF('Annotated Papers'!A:A,A112)&gt;1,1,0))</f>
        <v>0</v>
      </c>
      <c r="E112">
        <f ca="1">IF(ISBLANK(A112), "", IF(SUMIFS('Annotated Papers'!G:G, 'Annotated Papers'!A:A,A112)&gt;0,1,0))</f>
        <v>1</v>
      </c>
      <c r="F112">
        <f ca="1">IF(ISBLANK(A112), "", IF(SUMIFS('Annotated Papers'!H:H, 'Annotated Papers'!A:A,A112)&gt;0,1,0))</f>
        <v>0</v>
      </c>
      <c r="G112" t="e">
        <f ca="1">IF(ISBLANK(A112), "", IF(SUMIFS('Annotated Papers'!I:I, 'Annotated Papers'!A:A,A112)&gt;0,1,0))</f>
        <v>#NAME?</v>
      </c>
      <c r="H112">
        <f ca="1">IF(ISBLANK(A112), "", IF(SUMIFS('Annotated Papers'!L:L, 'Annotated Papers'!A:A,A112)&gt;0,1,0))</f>
        <v>0</v>
      </c>
      <c r="I112" s="24">
        <f ca="1">IF(ISBLANK(A112), "", VLOOKUP(A112,'Annotated Papers'!111:1150,4,FALSE))</f>
        <v>0</v>
      </c>
    </row>
    <row r="113" spans="1:9" ht="14">
      <c r="A113" s="25" t="str">
        <f ca="1">IFERROR(__xludf.DUMMYFUNCTION("""COMPUTED_VALUE"""),"Fast Learning-based Registration of Sparse Clinical Images")</f>
        <v>Fast Learning-based Registration of Sparse Clinical Images</v>
      </c>
      <c r="B113" t="str">
        <f ca="1">IF(ISBLANK(A113), "", VLOOKUP(A113,'Annotated Papers'!112:1151,2,FALSE))</f>
        <v>ML4H</v>
      </c>
      <c r="C113" s="24">
        <f ca="1">IF(ISBLANK(A113), "", VLOOKUP(A113,'Annotated Papers'!112:1151,5,FALSE))</f>
        <v>1</v>
      </c>
      <c r="D113">
        <f ca="1">IF(ISBLANK(A113), "", IF(COUNTIF('Annotated Papers'!A:A,A113)&gt;1,1,0))</f>
        <v>0</v>
      </c>
      <c r="E113">
        <f ca="1">IF(ISBLANK(A113), "", IF(SUMIFS('Annotated Papers'!G:G, 'Annotated Papers'!A:A,A113)&gt;0,1,0))</f>
        <v>1</v>
      </c>
      <c r="F113">
        <f ca="1">IF(ISBLANK(A113), "", IF(SUMIFS('Annotated Papers'!H:H, 'Annotated Papers'!A:A,A113)&gt;0,1,0))</f>
        <v>0</v>
      </c>
      <c r="G113" t="e">
        <f ca="1">IF(ISBLANK(A113), "", IF(SUMIFS('Annotated Papers'!I:I, 'Annotated Papers'!A:A,A113)&gt;0,1,0))</f>
        <v>#NAME?</v>
      </c>
      <c r="H113">
        <f ca="1">IF(ISBLANK(A113), "", IF(SUMIFS('Annotated Papers'!L:L, 'Annotated Papers'!A:A,A113)&gt;0,1,0))</f>
        <v>1</v>
      </c>
      <c r="I113" s="24">
        <f ca="1">IF(ISBLANK(A113), "", VLOOKUP(A113,'Annotated Papers'!112:1151,4,FALSE))</f>
        <v>0</v>
      </c>
    </row>
    <row r="114" spans="1:9" ht="14">
      <c r="A114" s="25" t="str">
        <f ca="1">IFERROR(__xludf.DUMMYFUNCTION("""COMPUTED_VALUE"""),"Improving Clinical Predictions through Unsupervised Time Series Representation Learning")</f>
        <v>Improving Clinical Predictions through Unsupervised Time Series Representation Learning</v>
      </c>
      <c r="B114" t="str">
        <f ca="1">IF(ISBLANK(A114), "", VLOOKUP(A114,'Annotated Papers'!113:1152,2,FALSE))</f>
        <v>ML4H</v>
      </c>
      <c r="C114" s="24">
        <f ca="1">IF(ISBLANK(A114), "", VLOOKUP(A114,'Annotated Papers'!113:1152,5,FALSE))</f>
        <v>0</v>
      </c>
      <c r="D114">
        <f ca="1">IF(ISBLANK(A114), "", IF(COUNTIF('Annotated Papers'!A:A,A114)&gt;1,1,0))</f>
        <v>0</v>
      </c>
      <c r="E114">
        <f ca="1">IF(ISBLANK(A114), "", IF(SUMIFS('Annotated Papers'!G:G, 'Annotated Papers'!A:A,A114)&gt;0,1,0))</f>
        <v>1</v>
      </c>
      <c r="F114">
        <f ca="1">IF(ISBLANK(A114), "", IF(SUMIFS('Annotated Papers'!H:H, 'Annotated Papers'!A:A,A114)&gt;0,1,0))</f>
        <v>1</v>
      </c>
      <c r="G114" t="e">
        <f ca="1">IF(ISBLANK(A114), "", IF(SUMIFS('Annotated Papers'!I:I, 'Annotated Papers'!A:A,A114)&gt;0,1,0))</f>
        <v>#NAME?</v>
      </c>
      <c r="H114">
        <f ca="1">IF(ISBLANK(A114), "", IF(SUMIFS('Annotated Papers'!L:L, 'Annotated Papers'!A:A,A114)&gt;0,1,0))</f>
        <v>1</v>
      </c>
      <c r="I114" s="24">
        <f ca="1">IF(ISBLANK(A114), "", VLOOKUP(A114,'Annotated Papers'!113:1152,4,FALSE))</f>
        <v>0</v>
      </c>
    </row>
    <row r="115" spans="1:9" ht="14">
      <c r="A115" s="25" t="str">
        <f ca="1">IFERROR(__xludf.DUMMYFUNCTION("""COMPUTED_VALUE"""),"Feature Selection Based on Unique Relevant Information for Health Data")</f>
        <v>Feature Selection Based on Unique Relevant Information for Health Data</v>
      </c>
      <c r="B115" t="str">
        <f ca="1">IF(ISBLANK(A115), "", VLOOKUP(A115,'Annotated Papers'!114:1153,2,FALSE))</f>
        <v>ML4H</v>
      </c>
      <c r="C115" s="24">
        <f ca="1">IF(ISBLANK(A115), "", VLOOKUP(A115,'Annotated Papers'!114:1153,5,FALSE))</f>
        <v>0</v>
      </c>
      <c r="D115">
        <f ca="1">IF(ISBLANK(A115), "", IF(COUNTIF('Annotated Papers'!A:A,A115)&gt;1,1,0))</f>
        <v>1</v>
      </c>
      <c r="E115">
        <f ca="1">IF(ISBLANK(A115), "", IF(SUMIFS('Annotated Papers'!G:G, 'Annotated Papers'!A:A,A115)&gt;0,1,0))</f>
        <v>1</v>
      </c>
      <c r="F115">
        <f ca="1">IF(ISBLANK(A115), "", IF(SUMIFS('Annotated Papers'!H:H, 'Annotated Papers'!A:A,A115)&gt;0,1,0))</f>
        <v>1</v>
      </c>
      <c r="G115" t="e">
        <f ca="1">IF(ISBLANK(A115), "", IF(SUMIFS('Annotated Papers'!I:I, 'Annotated Papers'!A:A,A115)&gt;0,1,0))</f>
        <v>#NAME?</v>
      </c>
      <c r="H115">
        <f ca="1">IF(ISBLANK(A115), "", IF(SUMIFS('Annotated Papers'!L:L, 'Annotated Papers'!A:A,A115)&gt;0,1,0))</f>
        <v>0</v>
      </c>
      <c r="I115" s="24">
        <f ca="1">IF(ISBLANK(A115), "", VLOOKUP(A115,'Annotated Papers'!114:1153,4,FALSE))</f>
        <v>0</v>
      </c>
    </row>
    <row r="116" spans="1:9" ht="14">
      <c r="A116" s="25" t="str">
        <f ca="1">IFERROR(__xludf.DUMMYFUNCTION("""COMPUTED_VALUE"""),"A Hybrid Instance-based Transfer Learning Method")</f>
        <v>A Hybrid Instance-based Transfer Learning Method</v>
      </c>
      <c r="B116" t="str">
        <f ca="1">IF(ISBLANK(A116), "", VLOOKUP(A116,'Annotated Papers'!115:1154,2,FALSE))</f>
        <v>ML4H</v>
      </c>
      <c r="C116" s="24">
        <f ca="1">IF(ISBLANK(A116), "", VLOOKUP(A116,'Annotated Papers'!115:1154,5,FALSE))</f>
        <v>0</v>
      </c>
      <c r="D116">
        <f ca="1">IF(ISBLANK(A116), "", IF(COUNTIF('Annotated Papers'!A:A,A116)&gt;1,1,0))</f>
        <v>1</v>
      </c>
      <c r="E116">
        <f ca="1">IF(ISBLANK(A116), "", IF(SUMIFS('Annotated Papers'!G:G, 'Annotated Papers'!A:A,A116)&gt;0,1,0))</f>
        <v>0</v>
      </c>
      <c r="F116">
        <f ca="1">IF(ISBLANK(A116), "", IF(SUMIFS('Annotated Papers'!H:H, 'Annotated Papers'!A:A,A116)&gt;0,1,0))</f>
        <v>1</v>
      </c>
      <c r="G116" t="e">
        <f ca="1">IF(ISBLANK(A116), "", IF(SUMIFS('Annotated Papers'!I:I, 'Annotated Papers'!A:A,A116)&gt;0,1,0))</f>
        <v>#NAME?</v>
      </c>
      <c r="H116">
        <f ca="1">IF(ISBLANK(A116), "", IF(SUMIFS('Annotated Papers'!L:L, 'Annotated Papers'!A:A,A116)&gt;0,1,0))</f>
        <v>0</v>
      </c>
      <c r="I116" s="24">
        <f ca="1">IF(ISBLANK(A116), "", VLOOKUP(A116,'Annotated Papers'!115:1154,4,FALSE))</f>
        <v>0</v>
      </c>
    </row>
    <row r="117" spans="1:9" ht="14">
      <c r="A117" s="25" t="str">
        <f ca="1">IFERROR(__xludf.DUMMYFUNCTION("""COMPUTED_VALUE"""),"Multiple Instance Learning for ECG Risk Stratification")</f>
        <v>Multiple Instance Learning for ECG Risk Stratification</v>
      </c>
      <c r="B117" t="str">
        <f ca="1">IF(ISBLANK(A117), "", VLOOKUP(A117,'Annotated Papers'!116:1155,2,FALSE))</f>
        <v>ML4H</v>
      </c>
      <c r="C117" s="24">
        <f ca="1">IF(ISBLANK(A117), "", VLOOKUP(A117,'Annotated Papers'!116:1155,5,FALSE))</f>
        <v>0</v>
      </c>
      <c r="D117">
        <f ca="1">IF(ISBLANK(A117), "", IF(COUNTIF('Annotated Papers'!A:A,A117)&gt;1,1,0))</f>
        <v>0</v>
      </c>
      <c r="E117">
        <f ca="1">IF(ISBLANK(A117), "", IF(SUMIFS('Annotated Papers'!G:G, 'Annotated Papers'!A:A,A117)&gt;0,1,0))</f>
        <v>1</v>
      </c>
      <c r="F117">
        <f ca="1">IF(ISBLANK(A117), "", IF(SUMIFS('Annotated Papers'!H:H, 'Annotated Papers'!A:A,A117)&gt;0,1,0))</f>
        <v>0</v>
      </c>
      <c r="G117" t="e">
        <f ca="1">IF(ISBLANK(A117), "", IF(SUMIFS('Annotated Papers'!I:I, 'Annotated Papers'!A:A,A117)&gt;0,1,0))</f>
        <v>#NAME?</v>
      </c>
      <c r="H117">
        <f ca="1">IF(ISBLANK(A117), "", IF(SUMIFS('Annotated Papers'!L:L, 'Annotated Papers'!A:A,A117)&gt;0,1,0))</f>
        <v>0</v>
      </c>
      <c r="I117" s="24">
        <f ca="1">IF(ISBLANK(A117), "", VLOOKUP(A117,'Annotated Papers'!116:1155,4,FALSE))</f>
        <v>0</v>
      </c>
    </row>
    <row r="118" spans="1:9" ht="14">
      <c r="A118" s="25" t="str">
        <f ca="1">IFERROR(__xludf.DUMMYFUNCTION("""COMPUTED_VALUE"""),"Measuring the Stability of EHR- and EKG-based Predictive Models")</f>
        <v>Measuring the Stability of EHR- and EKG-based Predictive Models</v>
      </c>
      <c r="B118" t="str">
        <f ca="1">IF(ISBLANK(A118), "", VLOOKUP(A118,'Annotated Papers'!117:1156,2,FALSE))</f>
        <v>ML4H</v>
      </c>
      <c r="C118" s="24">
        <f ca="1">IF(ISBLANK(A118), "", VLOOKUP(A118,'Annotated Papers'!117:1156,5,FALSE))</f>
        <v>0</v>
      </c>
      <c r="D118">
        <f ca="1">IF(ISBLANK(A118), "", IF(COUNTIF('Annotated Papers'!A:A,A118)&gt;1,1,0))</f>
        <v>0</v>
      </c>
      <c r="E118">
        <f ca="1">IF(ISBLANK(A118), "", IF(SUMIFS('Annotated Papers'!G:G, 'Annotated Papers'!A:A,A118)&gt;0,1,0))</f>
        <v>1</v>
      </c>
      <c r="F118">
        <f ca="1">IF(ISBLANK(A118), "", IF(SUMIFS('Annotated Papers'!H:H, 'Annotated Papers'!A:A,A118)&gt;0,1,0))</f>
        <v>0</v>
      </c>
      <c r="G118" t="e">
        <f ca="1">IF(ISBLANK(A118), "", IF(SUMIFS('Annotated Papers'!I:I, 'Annotated Papers'!A:A,A118)&gt;0,1,0))</f>
        <v>#NAME?</v>
      </c>
      <c r="H118">
        <f ca="1">IF(ISBLANK(A118), "", IF(SUMIFS('Annotated Papers'!L:L, 'Annotated Papers'!A:A,A118)&gt;0,1,0))</f>
        <v>1</v>
      </c>
      <c r="I118" s="24">
        <f ca="1">IF(ISBLANK(A118), "", VLOOKUP(A118,'Annotated Papers'!117:1156,4,FALSE))</f>
        <v>0</v>
      </c>
    </row>
    <row r="119" spans="1:9" ht="14">
      <c r="A119" s="25" t="str">
        <f ca="1">IFERROR(__xludf.DUMMYFUNCTION("""COMPUTED_VALUE"""),"Effective, Fast, and Memory-Efficient Compressed Multi-function Convolutional Neural Networks for More Accurate Medical Image Classification")</f>
        <v>Effective, Fast, and Memory-Efficient Compressed Multi-function Convolutional Neural Networks for More Accurate Medical Image Classification</v>
      </c>
      <c r="B119" t="str">
        <f ca="1">IF(ISBLANK(A119), "", VLOOKUP(A119,'Annotated Papers'!118:1157,2,FALSE))</f>
        <v>ML4H</v>
      </c>
      <c r="C119" s="24">
        <f ca="1">IF(ISBLANK(A119), "", VLOOKUP(A119,'Annotated Papers'!118:1157,5,FALSE))</f>
        <v>0</v>
      </c>
      <c r="D119">
        <f ca="1">IF(ISBLANK(A119), "", IF(COUNTIF('Annotated Papers'!A:A,A119)&gt;1,1,0))</f>
        <v>0</v>
      </c>
      <c r="E119">
        <f ca="1">IF(ISBLANK(A119), "", IF(SUMIFS('Annotated Papers'!G:G, 'Annotated Papers'!A:A,A119)&gt;0,1,0))</f>
        <v>1</v>
      </c>
      <c r="F119">
        <f ca="1">IF(ISBLANK(A119), "", IF(SUMIFS('Annotated Papers'!H:H, 'Annotated Papers'!A:A,A119)&gt;0,1,0))</f>
        <v>1</v>
      </c>
      <c r="G119" t="e">
        <f ca="1">IF(ISBLANK(A119), "", IF(SUMIFS('Annotated Papers'!I:I, 'Annotated Papers'!A:A,A119)&gt;0,1,0))</f>
        <v>#NAME?</v>
      </c>
      <c r="H119">
        <f ca="1">IF(ISBLANK(A119), "", IF(SUMIFS('Annotated Papers'!L:L, 'Annotated Papers'!A:A,A119)&gt;0,1,0))</f>
        <v>0</v>
      </c>
      <c r="I119" s="24">
        <f ca="1">IF(ISBLANK(A119), "", VLOOKUP(A119,'Annotated Papers'!118:1157,4,FALSE))</f>
        <v>0</v>
      </c>
    </row>
    <row r="120" spans="1:9" ht="14">
      <c r="A120" s="25" t="str">
        <f ca="1">IFERROR(__xludf.DUMMYFUNCTION("""COMPUTED_VALUE"""),"Learning Global Additive Explanations for Neural Nets Using Model Distillation")</f>
        <v>Learning Global Additive Explanations for Neural Nets Using Model Distillation</v>
      </c>
      <c r="B120" t="str">
        <f ca="1">IF(ISBLANK(A120), "", VLOOKUP(A120,'Annotated Papers'!119:1158,2,FALSE))</f>
        <v>ML4H</v>
      </c>
      <c r="C120" s="24">
        <f ca="1">IF(ISBLANK(A120), "", VLOOKUP(A120,'Annotated Papers'!119:1158,5,FALSE))</f>
        <v>0</v>
      </c>
      <c r="D120">
        <f ca="1">IF(ISBLANK(A120), "", IF(COUNTIF('Annotated Papers'!A:A,A120)&gt;1,1,0))</f>
        <v>1</v>
      </c>
      <c r="E120">
        <f ca="1">IF(ISBLANK(A120), "", IF(SUMIFS('Annotated Papers'!G:G, 'Annotated Papers'!A:A,A120)&gt;0,1,0))</f>
        <v>1</v>
      </c>
      <c r="F120">
        <f ca="1">IF(ISBLANK(A120), "", IF(SUMIFS('Annotated Papers'!H:H, 'Annotated Papers'!A:A,A120)&gt;0,1,0))</f>
        <v>1</v>
      </c>
      <c r="G120" t="e">
        <f ca="1">IF(ISBLANK(A120), "", IF(SUMIFS('Annotated Papers'!I:I, 'Annotated Papers'!A:A,A120)&gt;0,1,0))</f>
        <v>#NAME?</v>
      </c>
      <c r="H120">
        <f ca="1">IF(ISBLANK(A120), "", IF(SUMIFS('Annotated Papers'!L:L, 'Annotated Papers'!A:A,A120)&gt;0,1,0))</f>
        <v>1</v>
      </c>
      <c r="I120" s="24">
        <f ca="1">IF(ISBLANK(A120), "", VLOOKUP(A120,'Annotated Papers'!119:1158,4,FALSE))</f>
        <v>0</v>
      </c>
    </row>
    <row r="121" spans="1:9" ht="14">
      <c r="A121" s="25" t="str">
        <f ca="1">IFERROR(__xludf.DUMMYFUNCTION("""COMPUTED_VALUE"""),"Towards generative adversarial networks as a new paradigm for radiology education")</f>
        <v>Towards generative adversarial networks as a new paradigm for radiology education</v>
      </c>
      <c r="B121" t="str">
        <f ca="1">IF(ISBLANK(A121), "", VLOOKUP(A121,'Annotated Papers'!120:1159,2,FALSE))</f>
        <v>ML4H</v>
      </c>
      <c r="C121" s="24">
        <f ca="1">IF(ISBLANK(A121), "", VLOOKUP(A121,'Annotated Papers'!120:1159,5,FALSE))</f>
        <v>0</v>
      </c>
      <c r="D121">
        <f ca="1">IF(ISBLANK(A121), "", IF(COUNTIF('Annotated Papers'!A:A,A121)&gt;1,1,0))</f>
        <v>0</v>
      </c>
      <c r="E121">
        <f ca="1">IF(ISBLANK(A121), "", IF(SUMIFS('Annotated Papers'!G:G, 'Annotated Papers'!A:A,A121)&gt;0,1,0))</f>
        <v>1</v>
      </c>
      <c r="F121">
        <f ca="1">IF(ISBLANK(A121), "", IF(SUMIFS('Annotated Papers'!H:H, 'Annotated Papers'!A:A,A121)&gt;0,1,0))</f>
        <v>0</v>
      </c>
      <c r="G121" t="e">
        <f ca="1">IF(ISBLANK(A121), "", IF(SUMIFS('Annotated Papers'!I:I, 'Annotated Papers'!A:A,A121)&gt;0,1,0))</f>
        <v>#NAME?</v>
      </c>
      <c r="H121">
        <f ca="1">IF(ISBLANK(A121), "", IF(SUMIFS('Annotated Papers'!L:L, 'Annotated Papers'!A:A,A121)&gt;0,1,0))</f>
        <v>0</v>
      </c>
      <c r="I121" s="24">
        <f ca="1">IF(ISBLANK(A121), "", VLOOKUP(A121,'Annotated Papers'!120:1159,4,FALSE))</f>
        <v>0</v>
      </c>
    </row>
    <row r="122" spans="1:9" ht="14">
      <c r="A122" s="25" t="str">
        <f ca="1">IFERROR(__xludf.DUMMYFUNCTION("""COMPUTED_VALUE"""),"Probabilistic Joint Face-Skull Modelling for Facial Reconstruction")</f>
        <v>Probabilistic Joint Face-Skull Modelling for Facial Reconstruction</v>
      </c>
      <c r="B122" t="str">
        <f ca="1">IF(ISBLANK(A122), "", VLOOKUP(A122,'Annotated Papers'!121:1160,2,FALSE))</f>
        <v>CV</v>
      </c>
      <c r="C122" s="24">
        <f ca="1">IF(ISBLANK(A122), "", VLOOKUP(A122,'Annotated Papers'!121:1160,5,FALSE))</f>
        <v>0</v>
      </c>
      <c r="D122">
        <f ca="1">IF(ISBLANK(A122), "", IF(COUNTIF('Annotated Papers'!A:A,A122)&gt;1,1,0))</f>
        <v>1</v>
      </c>
      <c r="E122">
        <f ca="1">IF(ISBLANK(A122), "", IF(SUMIFS('Annotated Papers'!G:G, 'Annotated Papers'!A:A,A122)&gt;0,1,0))</f>
        <v>1</v>
      </c>
      <c r="F122">
        <f ca="1">IF(ISBLANK(A122), "", IF(SUMIFS('Annotated Papers'!H:H, 'Annotated Papers'!A:A,A122)&gt;0,1,0))</f>
        <v>0</v>
      </c>
      <c r="G122" t="e">
        <f ca="1">IF(ISBLANK(A122), "", IF(SUMIFS('Annotated Papers'!I:I, 'Annotated Papers'!A:A,A122)&gt;0,1,0))</f>
        <v>#NAME?</v>
      </c>
      <c r="H122">
        <f ca="1">IF(ISBLANK(A122), "", IF(SUMIFS('Annotated Papers'!L:L, 'Annotated Papers'!A:A,A122)&gt;0,1,0))</f>
        <v>1</v>
      </c>
      <c r="I122" s="24">
        <f ca="1">IF(ISBLANK(A122), "", VLOOKUP(A122,'Annotated Papers'!121:1160,4,FALSE))</f>
        <v>0</v>
      </c>
    </row>
    <row r="123" spans="1:9" ht="14">
      <c r="A123" s="25" t="str">
        <f ca="1">IFERROR(__xludf.DUMMYFUNCTION("""COMPUTED_VALUE"""),"Human Semantic Parsing for Person Re-Identification")</f>
        <v>Human Semantic Parsing for Person Re-Identification</v>
      </c>
      <c r="B123" t="str">
        <f ca="1">IF(ISBLANK(A123), "", VLOOKUP(A123,'Annotated Papers'!122:1161,2,FALSE))</f>
        <v>CV</v>
      </c>
      <c r="C123" s="24">
        <f ca="1">IF(ISBLANK(A123), "", VLOOKUP(A123,'Annotated Papers'!122:1161,5,FALSE))</f>
        <v>0</v>
      </c>
      <c r="D123">
        <f ca="1">IF(ISBLANK(A123), "", IF(COUNTIF('Annotated Papers'!A:A,A123)&gt;1,1,0))</f>
        <v>1</v>
      </c>
      <c r="E123">
        <f ca="1">IF(ISBLANK(A123), "", IF(SUMIFS('Annotated Papers'!G:G, 'Annotated Papers'!A:A,A123)&gt;0,1,0))</f>
        <v>0</v>
      </c>
      <c r="F123">
        <f ca="1">IF(ISBLANK(A123), "", IF(SUMIFS('Annotated Papers'!H:H, 'Annotated Papers'!A:A,A123)&gt;0,1,0))</f>
        <v>1</v>
      </c>
      <c r="G123" t="e">
        <f ca="1">IF(ISBLANK(A123), "", IF(SUMIFS('Annotated Papers'!I:I, 'Annotated Papers'!A:A,A123)&gt;0,1,0))</f>
        <v>#NAME?</v>
      </c>
      <c r="H123">
        <f ca="1">IF(ISBLANK(A123), "", IF(SUMIFS('Annotated Papers'!L:L, 'Annotated Papers'!A:A,A123)&gt;0,1,0))</f>
        <v>0</v>
      </c>
      <c r="I123" s="24">
        <f ca="1">IF(ISBLANK(A123), "", VLOOKUP(A123,'Annotated Papers'!122:1161,4,FALSE))</f>
        <v>0</v>
      </c>
    </row>
    <row r="124" spans="1:9" ht="14">
      <c r="A124" s="25" t="str">
        <f ca="1">IFERROR(__xludf.DUMMYFUNCTION("""COMPUTED_VALUE"""),"Improving Occlusion and Hard Negative Handling for Single-Stage Pedestrian Detectors")</f>
        <v>Improving Occlusion and Hard Negative Handling for Single-Stage Pedestrian Detectors</v>
      </c>
      <c r="B124" t="str">
        <f ca="1">IF(ISBLANK(A124), "", VLOOKUP(A124,'Annotated Papers'!123:1162,2,FALSE))</f>
        <v>CV</v>
      </c>
      <c r="C124" s="24">
        <f ca="1">IF(ISBLANK(A124), "", VLOOKUP(A124,'Annotated Papers'!123:1162,5,FALSE))</f>
        <v>0</v>
      </c>
      <c r="D124">
        <f ca="1">IF(ISBLANK(A124), "", IF(COUNTIF('Annotated Papers'!A:A,A124)&gt;1,1,0))</f>
        <v>1</v>
      </c>
      <c r="E124">
        <f ca="1">IF(ISBLANK(A124), "", IF(SUMIFS('Annotated Papers'!G:G, 'Annotated Papers'!A:A,A124)&gt;0,1,0))</f>
        <v>0</v>
      </c>
      <c r="F124">
        <f ca="1">IF(ISBLANK(A124), "", IF(SUMIFS('Annotated Papers'!H:H, 'Annotated Papers'!A:A,A124)&gt;0,1,0))</f>
        <v>1</v>
      </c>
      <c r="G124" t="e">
        <f ca="1">IF(ISBLANK(A124), "", IF(SUMIFS('Annotated Papers'!I:I, 'Annotated Papers'!A:A,A124)&gt;0,1,0))</f>
        <v>#NAME?</v>
      </c>
      <c r="H124">
        <f ca="1">IF(ISBLANK(A124), "", IF(SUMIFS('Annotated Papers'!L:L, 'Annotated Papers'!A:A,A124)&gt;0,1,0))</f>
        <v>0</v>
      </c>
      <c r="I124" s="24">
        <f ca="1">IF(ISBLANK(A124), "", VLOOKUP(A124,'Annotated Papers'!123:1162,4,FALSE))</f>
        <v>0</v>
      </c>
    </row>
    <row r="125" spans="1:9" ht="14">
      <c r="A125" s="25" t="str">
        <f ca="1">IFERROR(__xludf.DUMMYFUNCTION("""COMPUTED_VALUE"""),"pOSE: Pseudo Object Space Error for Initialization-Free Bundle Adjustment")</f>
        <v>pOSE: Pseudo Object Space Error for Initialization-Free Bundle Adjustment</v>
      </c>
      <c r="B125" t="str">
        <f ca="1">IF(ISBLANK(A125), "", VLOOKUP(A125,'Annotated Papers'!124:1163,2,FALSE))</f>
        <v>CV</v>
      </c>
      <c r="C125" s="24">
        <f ca="1">IF(ISBLANK(A125), "", VLOOKUP(A125,'Annotated Papers'!124:1163,5,FALSE))</f>
        <v>0</v>
      </c>
      <c r="D125">
        <f ca="1">IF(ISBLANK(A125), "", IF(COUNTIF('Annotated Papers'!A:A,A125)&gt;1,1,0))</f>
        <v>1</v>
      </c>
      <c r="E125">
        <f ca="1">IF(ISBLANK(A125), "", IF(SUMIFS('Annotated Papers'!G:G, 'Annotated Papers'!A:A,A125)&gt;0,1,0))</f>
        <v>0</v>
      </c>
      <c r="F125">
        <f ca="1">IF(ISBLANK(A125), "", IF(SUMIFS('Annotated Papers'!H:H, 'Annotated Papers'!A:A,A125)&gt;0,1,0))</f>
        <v>1</v>
      </c>
      <c r="G125" t="e">
        <f ca="1">IF(ISBLANK(A125), "", IF(SUMIFS('Annotated Papers'!I:I, 'Annotated Papers'!A:A,A125)&gt;0,1,0))</f>
        <v>#NAME?</v>
      </c>
      <c r="H125">
        <f ca="1">IF(ISBLANK(A125), "", IF(SUMIFS('Annotated Papers'!L:L, 'Annotated Papers'!A:A,A125)&gt;0,1,0))</f>
        <v>0</v>
      </c>
      <c r="I125" s="24">
        <f ca="1">IF(ISBLANK(A125), "", VLOOKUP(A125,'Annotated Papers'!124:1163,4,FALSE))</f>
        <v>0</v>
      </c>
    </row>
    <row r="126" spans="1:9" ht="14">
      <c r="A126" s="25" t="str">
        <f ca="1">IFERROR(__xludf.DUMMYFUNCTION("""COMPUTED_VALUE"""),"SSNet: Scale Selection Network for Online 3D Action Prediction")</f>
        <v>SSNet: Scale Selection Network for Online 3D Action Prediction</v>
      </c>
      <c r="B126" t="str">
        <f ca="1">IF(ISBLANK(A126), "", VLOOKUP(A126,'Annotated Papers'!125:1164,2,FALSE))</f>
        <v>CV</v>
      </c>
      <c r="C126" s="24">
        <f ca="1">IF(ISBLANK(A126), "", VLOOKUP(A126,'Annotated Papers'!125:1164,5,FALSE))</f>
        <v>0</v>
      </c>
      <c r="D126">
        <f ca="1">IF(ISBLANK(A126), "", IF(COUNTIF('Annotated Papers'!A:A,A126)&gt;1,1,0))</f>
        <v>1</v>
      </c>
      <c r="E126">
        <f ca="1">IF(ISBLANK(A126), "", IF(SUMIFS('Annotated Papers'!G:G, 'Annotated Papers'!A:A,A126)&gt;0,1,0))</f>
        <v>0</v>
      </c>
      <c r="F126">
        <f ca="1">IF(ISBLANK(A126), "", IF(SUMIFS('Annotated Papers'!H:H, 'Annotated Papers'!A:A,A126)&gt;0,1,0))</f>
        <v>1</v>
      </c>
      <c r="G126" t="e">
        <f ca="1">IF(ISBLANK(A126), "", IF(SUMIFS('Annotated Papers'!I:I, 'Annotated Papers'!A:A,A126)&gt;0,1,0))</f>
        <v>#NAME?</v>
      </c>
      <c r="H126">
        <f ca="1">IF(ISBLANK(A126), "", IF(SUMIFS('Annotated Papers'!L:L, 'Annotated Papers'!A:A,A126)&gt;0,1,0))</f>
        <v>1</v>
      </c>
      <c r="I126" s="24">
        <f ca="1">IF(ISBLANK(A126), "", VLOOKUP(A126,'Annotated Papers'!125:1164,4,FALSE))</f>
        <v>0</v>
      </c>
    </row>
    <row r="127" spans="1:9" ht="14">
      <c r="A127" s="25" t="str">
        <f ca="1">IFERROR(__xludf.DUMMYFUNCTION("""COMPUTED_VALUE"""),"CLEAR: Cumulative LEARning for One-Shot One-Class Image Recognition")</f>
        <v>CLEAR: Cumulative LEARning for One-Shot One-Class Image Recognition</v>
      </c>
      <c r="B127" t="str">
        <f ca="1">IF(ISBLANK(A127), "", VLOOKUP(A127,'Annotated Papers'!126:1165,2,FALSE))</f>
        <v>CV</v>
      </c>
      <c r="C127" s="24">
        <f ca="1">IF(ISBLANK(A127), "", VLOOKUP(A127,'Annotated Papers'!126:1165,5,FALSE))</f>
        <v>0</v>
      </c>
      <c r="D127">
        <f ca="1">IF(ISBLANK(A127), "", IF(COUNTIF('Annotated Papers'!A:A,A127)&gt;1,1,0))</f>
        <v>1</v>
      </c>
      <c r="E127">
        <f ca="1">IF(ISBLANK(A127), "", IF(SUMIFS('Annotated Papers'!G:G, 'Annotated Papers'!A:A,A127)&gt;0,1,0))</f>
        <v>0</v>
      </c>
      <c r="F127">
        <f ca="1">IF(ISBLANK(A127), "", IF(SUMIFS('Annotated Papers'!H:H, 'Annotated Papers'!A:A,A127)&gt;0,1,0))</f>
        <v>1</v>
      </c>
      <c r="G127" t="e">
        <f ca="1">IF(ISBLANK(A127), "", IF(SUMIFS('Annotated Papers'!I:I, 'Annotated Papers'!A:A,A127)&gt;0,1,0))</f>
        <v>#NAME?</v>
      </c>
      <c r="H127">
        <f ca="1">IF(ISBLANK(A127), "", IF(SUMIFS('Annotated Papers'!L:L, 'Annotated Papers'!A:A,A127)&gt;0,1,0))</f>
        <v>0</v>
      </c>
      <c r="I127" s="24">
        <f ca="1">IF(ISBLANK(A127), "", VLOOKUP(A127,'Annotated Papers'!126:1165,4,FALSE))</f>
        <v>0</v>
      </c>
    </row>
    <row r="128" spans="1:9" ht="14">
      <c r="A128" s="25" t="str">
        <f ca="1">IFERROR(__xludf.DUMMYFUNCTION("""COMPUTED_VALUE"""),"RayNet: Learning Volumetric 3D Reconstruction With Ray Potentials")</f>
        <v>RayNet: Learning Volumetric 3D Reconstruction With Ray Potentials</v>
      </c>
      <c r="B128" t="str">
        <f ca="1">IF(ISBLANK(A128), "", VLOOKUP(A128,'Annotated Papers'!127:1166,2,FALSE))</f>
        <v>CV</v>
      </c>
      <c r="C128" s="24">
        <f ca="1">IF(ISBLANK(A128), "", VLOOKUP(A128,'Annotated Papers'!127:1166,5,FALSE))</f>
        <v>1</v>
      </c>
      <c r="D128">
        <f ca="1">IF(ISBLANK(A128), "", IF(COUNTIF('Annotated Papers'!A:A,A128)&gt;1,1,0))</f>
        <v>1</v>
      </c>
      <c r="E128">
        <f ca="1">IF(ISBLANK(A128), "", IF(SUMIFS('Annotated Papers'!G:G, 'Annotated Papers'!A:A,A128)&gt;0,1,0))</f>
        <v>0</v>
      </c>
      <c r="F128">
        <f ca="1">IF(ISBLANK(A128), "", IF(SUMIFS('Annotated Papers'!H:H, 'Annotated Papers'!A:A,A128)&gt;0,1,0))</f>
        <v>1</v>
      </c>
      <c r="G128" t="e">
        <f ca="1">IF(ISBLANK(A128), "", IF(SUMIFS('Annotated Papers'!I:I, 'Annotated Papers'!A:A,A128)&gt;0,1,0))</f>
        <v>#NAME?</v>
      </c>
      <c r="H128">
        <f ca="1">IF(ISBLANK(A128), "", IF(SUMIFS('Annotated Papers'!L:L, 'Annotated Papers'!A:A,A128)&gt;0,1,0))</f>
        <v>0</v>
      </c>
      <c r="I128" s="24">
        <f ca="1">IF(ISBLANK(A128), "", VLOOKUP(A128,'Annotated Papers'!127:1166,4,FALSE))</f>
        <v>0</v>
      </c>
    </row>
    <row r="129" spans="1:9" ht="14">
      <c r="A129" s="25" t="str">
        <f ca="1">IFERROR(__xludf.DUMMYFUNCTION("""COMPUTED_VALUE"""),"Environment Upgrade Reinforcement Learning for Non-Differentiable Multi-Stage Pipelines")</f>
        <v>Environment Upgrade Reinforcement Learning for Non-Differentiable Multi-Stage Pipelines</v>
      </c>
      <c r="B129" t="str">
        <f ca="1">IF(ISBLANK(A129), "", VLOOKUP(A129,'Annotated Papers'!128:1167,2,FALSE))</f>
        <v>CV</v>
      </c>
      <c r="C129" s="24">
        <f ca="1">IF(ISBLANK(A129), "", VLOOKUP(A129,'Annotated Papers'!128:1167,5,FALSE))</f>
        <v>0</v>
      </c>
      <c r="D129">
        <f ca="1">IF(ISBLANK(A129), "", IF(COUNTIF('Annotated Papers'!A:A,A129)&gt;1,1,0))</f>
        <v>1</v>
      </c>
      <c r="E129">
        <f ca="1">IF(ISBLANK(A129), "", IF(SUMIFS('Annotated Papers'!G:G, 'Annotated Papers'!A:A,A129)&gt;0,1,0))</f>
        <v>0</v>
      </c>
      <c r="F129">
        <f ca="1">IF(ISBLANK(A129), "", IF(SUMIFS('Annotated Papers'!H:H, 'Annotated Papers'!A:A,A129)&gt;0,1,0))</f>
        <v>1</v>
      </c>
      <c r="G129" t="e">
        <f ca="1">IF(ISBLANK(A129), "", IF(SUMIFS('Annotated Papers'!I:I, 'Annotated Papers'!A:A,A129)&gt;0,1,0))</f>
        <v>#NAME?</v>
      </c>
      <c r="H129">
        <f ca="1">IF(ISBLANK(A129), "", IF(SUMIFS('Annotated Papers'!L:L, 'Annotated Papers'!A:A,A129)&gt;0,1,0))</f>
        <v>0</v>
      </c>
      <c r="I129" s="24">
        <f ca="1">IF(ISBLANK(A129), "", VLOOKUP(A129,'Annotated Papers'!128:1167,4,FALSE))</f>
        <v>0</v>
      </c>
    </row>
    <row r="130" spans="1:9" ht="14">
      <c r="A130" s="25" t="str">
        <f ca="1">IFERROR(__xludf.DUMMYFUNCTION("""COMPUTED_VALUE"""),"Self-produced Guidance for Weakly-supervised Object Localization")</f>
        <v>Self-produced Guidance for Weakly-supervised Object Localization</v>
      </c>
      <c r="B130" t="str">
        <f ca="1">IF(ISBLANK(A130), "", VLOOKUP(A130,'Annotated Papers'!129:1168,2,FALSE))</f>
        <v>CV</v>
      </c>
      <c r="C130" s="24">
        <f ca="1">IF(ISBLANK(A130), "", VLOOKUP(A130,'Annotated Papers'!129:1168,5,FALSE))</f>
        <v>1</v>
      </c>
      <c r="D130">
        <f ca="1">IF(ISBLANK(A130), "", IF(COUNTIF('Annotated Papers'!A:A,A130)&gt;1,1,0))</f>
        <v>0</v>
      </c>
      <c r="E130">
        <f ca="1">IF(ISBLANK(A130), "", IF(SUMIFS('Annotated Papers'!G:G, 'Annotated Papers'!A:A,A130)&gt;0,1,0))</f>
        <v>0</v>
      </c>
      <c r="F130">
        <f ca="1">IF(ISBLANK(A130), "", IF(SUMIFS('Annotated Papers'!H:H, 'Annotated Papers'!A:A,A130)&gt;0,1,0))</f>
        <v>1</v>
      </c>
      <c r="G130" t="e">
        <f ca="1">IF(ISBLANK(A130), "", IF(SUMIFS('Annotated Papers'!I:I, 'Annotated Papers'!A:A,A130)&gt;0,1,0))</f>
        <v>#NAME?</v>
      </c>
      <c r="H130">
        <f ca="1">IF(ISBLANK(A130), "", IF(SUMIFS('Annotated Papers'!L:L, 'Annotated Papers'!A:A,A130)&gt;0,1,0))</f>
        <v>0</v>
      </c>
      <c r="I130" s="24">
        <f ca="1">IF(ISBLANK(A130), "", VLOOKUP(A130,'Annotated Papers'!129:1168,4,FALSE))</f>
        <v>0</v>
      </c>
    </row>
    <row r="131" spans="1:9" ht="14">
      <c r="A131" s="25" t="str">
        <f ca="1">IFERROR(__xludf.DUMMYFUNCTION("""COMPUTED_VALUE"""),"Deterministic Consensus Maximization with Biconvex Programming")</f>
        <v>Deterministic Consensus Maximization with Biconvex Programming</v>
      </c>
      <c r="B131" t="str">
        <f ca="1">IF(ISBLANK(A131), "", VLOOKUP(A131,'Annotated Papers'!130:1169,2,FALSE))</f>
        <v>CV</v>
      </c>
      <c r="C131" s="24">
        <f ca="1">IF(ISBLANK(A131), "", VLOOKUP(A131,'Annotated Papers'!130:1169,5,FALSE))</f>
        <v>1</v>
      </c>
      <c r="D131">
        <f ca="1">IF(ISBLANK(A131), "", IF(COUNTIF('Annotated Papers'!A:A,A131)&gt;1,1,0))</f>
        <v>1</v>
      </c>
      <c r="E131">
        <f ca="1">IF(ISBLANK(A131), "", IF(SUMIFS('Annotated Papers'!G:G, 'Annotated Papers'!A:A,A131)&gt;0,1,0))</f>
        <v>0</v>
      </c>
      <c r="F131">
        <f ca="1">IF(ISBLANK(A131), "", IF(SUMIFS('Annotated Papers'!H:H, 'Annotated Papers'!A:A,A131)&gt;0,1,0))</f>
        <v>1</v>
      </c>
      <c r="G131" t="e">
        <f ca="1">IF(ISBLANK(A131), "", IF(SUMIFS('Annotated Papers'!I:I, 'Annotated Papers'!A:A,A131)&gt;0,1,0))</f>
        <v>#NAME?</v>
      </c>
      <c r="H131">
        <f ca="1">IF(ISBLANK(A131), "", IF(SUMIFS('Annotated Papers'!L:L, 'Annotated Papers'!A:A,A131)&gt;0,1,0))</f>
        <v>0</v>
      </c>
      <c r="I131" s="24">
        <f ca="1">IF(ISBLANK(A131), "", VLOOKUP(A131,'Annotated Papers'!130:1169,4,FALSE))</f>
        <v>0</v>
      </c>
    </row>
    <row r="132" spans="1:9" ht="14">
      <c r="A132" s="25" t="str">
        <f ca="1">IFERROR(__xludf.DUMMYFUNCTION("""COMPUTED_VALUE"""),"HiDDeN: Hiding Data with Deep Networks")</f>
        <v>HiDDeN: Hiding Data with Deep Networks</v>
      </c>
      <c r="B132" t="str">
        <f ca="1">IF(ISBLANK(A132), "", VLOOKUP(A132,'Annotated Papers'!131:1170,2,FALSE))</f>
        <v>CV</v>
      </c>
      <c r="C132" s="24">
        <f ca="1">IF(ISBLANK(A132), "", VLOOKUP(A132,'Annotated Papers'!131:1170,5,FALSE))</f>
        <v>0</v>
      </c>
      <c r="D132">
        <f ca="1">IF(ISBLANK(A132), "", IF(COUNTIF('Annotated Papers'!A:A,A132)&gt;1,1,0))</f>
        <v>1</v>
      </c>
      <c r="E132">
        <f ca="1">IF(ISBLANK(A132), "", IF(SUMIFS('Annotated Papers'!G:G, 'Annotated Papers'!A:A,A132)&gt;0,1,0))</f>
        <v>0</v>
      </c>
      <c r="F132">
        <f ca="1">IF(ISBLANK(A132), "", IF(SUMIFS('Annotated Papers'!H:H, 'Annotated Papers'!A:A,A132)&gt;0,1,0))</f>
        <v>1</v>
      </c>
      <c r="G132" t="e">
        <f ca="1">IF(ISBLANK(A132), "", IF(SUMIFS('Annotated Papers'!I:I, 'Annotated Papers'!A:A,A132)&gt;0,1,0))</f>
        <v>#NAME?</v>
      </c>
      <c r="H132">
        <f ca="1">IF(ISBLANK(A132), "", IF(SUMIFS('Annotated Papers'!L:L, 'Annotated Papers'!A:A,A132)&gt;0,1,0))</f>
        <v>0</v>
      </c>
      <c r="I132" s="24">
        <f ca="1">IF(ISBLANK(A132), "", VLOOKUP(A132,'Annotated Papers'!131:1170,4,FALSE))</f>
        <v>0</v>
      </c>
    </row>
    <row r="133" spans="1:9" ht="14">
      <c r="A133" s="25" t="str">
        <f ca="1">IFERROR(__xludf.DUMMYFUNCTION("""COMPUTED_VALUE"""),"Synergy Between Face Alignment and Tracking via Discriminative Global Consensus Optimization")</f>
        <v>Synergy Between Face Alignment and Tracking via Discriminative Global Consensus Optimization</v>
      </c>
      <c r="B133" t="str">
        <f ca="1">IF(ISBLANK(A133), "", VLOOKUP(A133,'Annotated Papers'!132:1171,2,FALSE))</f>
        <v>CV</v>
      </c>
      <c r="C133" s="24">
        <f ca="1">IF(ISBLANK(A133), "", VLOOKUP(A133,'Annotated Papers'!132:1171,5,FALSE))</f>
        <v>0</v>
      </c>
      <c r="D133">
        <f ca="1">IF(ISBLANK(A133), "", IF(COUNTIF('Annotated Papers'!A:A,A133)&gt;1,1,0))</f>
        <v>1</v>
      </c>
      <c r="E133">
        <f ca="1">IF(ISBLANK(A133), "", IF(SUMIFS('Annotated Papers'!G:G, 'Annotated Papers'!A:A,A133)&gt;0,1,0))</f>
        <v>0</v>
      </c>
      <c r="F133">
        <f ca="1">IF(ISBLANK(A133), "", IF(SUMIFS('Annotated Papers'!H:H, 'Annotated Papers'!A:A,A133)&gt;0,1,0))</f>
        <v>1</v>
      </c>
      <c r="G133" t="e">
        <f ca="1">IF(ISBLANK(A133), "", IF(SUMIFS('Annotated Papers'!I:I, 'Annotated Papers'!A:A,A133)&gt;0,1,0))</f>
        <v>#NAME?</v>
      </c>
      <c r="H133">
        <f ca="1">IF(ISBLANK(A133), "", IF(SUMIFS('Annotated Papers'!L:L, 'Annotated Papers'!A:A,A133)&gt;0,1,0))</f>
        <v>0</v>
      </c>
      <c r="I133" s="24">
        <f ca="1">IF(ISBLANK(A133), "", VLOOKUP(A133,'Annotated Papers'!132:1171,4,FALSE))</f>
        <v>0</v>
      </c>
    </row>
    <row r="134" spans="1:9" ht="14">
      <c r="A134" s="25" t="str">
        <f ca="1">IFERROR(__xludf.DUMMYFUNCTION("""COMPUTED_VALUE"""),"Deep TextSpotter: An End-To-End Trainable Scene Text Localization and Recognition Framework")</f>
        <v>Deep TextSpotter: An End-To-End Trainable Scene Text Localization and Recognition Framework</v>
      </c>
      <c r="B134" t="str">
        <f ca="1">IF(ISBLANK(A134), "", VLOOKUP(A134,'Annotated Papers'!133:1172,2,FALSE))</f>
        <v>CV</v>
      </c>
      <c r="C134" s="24">
        <f ca="1">IF(ISBLANK(A134), "", VLOOKUP(A134,'Annotated Papers'!133:1172,5,FALSE))</f>
        <v>1</v>
      </c>
      <c r="D134">
        <f ca="1">IF(ISBLANK(A134), "", IF(COUNTIF('Annotated Papers'!A:A,A134)&gt;1,1,0))</f>
        <v>1</v>
      </c>
      <c r="E134">
        <f ca="1">IF(ISBLANK(A134), "", IF(SUMIFS('Annotated Papers'!G:G, 'Annotated Papers'!A:A,A134)&gt;0,1,0))</f>
        <v>0</v>
      </c>
      <c r="F134">
        <f ca="1">IF(ISBLANK(A134), "", IF(SUMIFS('Annotated Papers'!H:H, 'Annotated Papers'!A:A,A134)&gt;0,1,0))</f>
        <v>1</v>
      </c>
      <c r="G134" t="e">
        <f ca="1">IF(ISBLANK(A134), "", IF(SUMIFS('Annotated Papers'!I:I, 'Annotated Papers'!A:A,A134)&gt;0,1,0))</f>
        <v>#NAME?</v>
      </c>
      <c r="H134">
        <f ca="1">IF(ISBLANK(A134), "", IF(SUMIFS('Annotated Papers'!L:L, 'Annotated Papers'!A:A,A134)&gt;0,1,0))</f>
        <v>0</v>
      </c>
      <c r="I134" s="24">
        <f ca="1">IF(ISBLANK(A134), "", VLOOKUP(A134,'Annotated Papers'!133:1172,4,FALSE))</f>
        <v>0</v>
      </c>
    </row>
    <row r="135" spans="1:9" ht="14">
      <c r="A135" s="25" t="str">
        <f ca="1">IFERROR(__xludf.DUMMYFUNCTION("""COMPUTED_VALUE"""),"Anticipating Daily Intention Using On-Wrist Motion Triggered Sensing")</f>
        <v>Anticipating Daily Intention Using On-Wrist Motion Triggered Sensing</v>
      </c>
      <c r="B135" t="str">
        <f ca="1">IF(ISBLANK(A135), "", VLOOKUP(A135,'Annotated Papers'!134:1173,2,FALSE))</f>
        <v>CV</v>
      </c>
      <c r="C135" s="24">
        <f ca="1">IF(ISBLANK(A135), "", VLOOKUP(A135,'Annotated Papers'!134:1173,5,FALSE))</f>
        <v>1</v>
      </c>
      <c r="D135">
        <f ca="1">IF(ISBLANK(A135), "", IF(COUNTIF('Annotated Papers'!A:A,A135)&gt;1,1,0))</f>
        <v>0</v>
      </c>
      <c r="E135">
        <f ca="1">IF(ISBLANK(A135), "", IF(SUMIFS('Annotated Papers'!G:G, 'Annotated Papers'!A:A,A135)&gt;0,1,0))</f>
        <v>0</v>
      </c>
      <c r="F135">
        <f ca="1">IF(ISBLANK(A135), "", IF(SUMIFS('Annotated Papers'!H:H, 'Annotated Papers'!A:A,A135)&gt;0,1,0))</f>
        <v>1</v>
      </c>
      <c r="G135" t="e">
        <f ca="1">IF(ISBLANK(A135), "", IF(SUMIFS('Annotated Papers'!I:I, 'Annotated Papers'!A:A,A135)&gt;0,1,0))</f>
        <v>#NAME?</v>
      </c>
      <c r="H135">
        <f ca="1">IF(ISBLANK(A135), "", IF(SUMIFS('Annotated Papers'!L:L, 'Annotated Papers'!A:A,A135)&gt;0,1,0))</f>
        <v>0</v>
      </c>
      <c r="I135" s="24">
        <f ca="1">IF(ISBLANK(A135), "", VLOOKUP(A135,'Annotated Papers'!134:1173,4,FALSE))</f>
        <v>0</v>
      </c>
    </row>
    <row r="136" spans="1:9" ht="14">
      <c r="A136" s="25" t="str">
        <f ca="1">IFERROR(__xludf.DUMMYFUNCTION("""COMPUTED_VALUE"""),"3D Face Reconstruction from Light Field Images: A Model-free Approach")</f>
        <v>3D Face Reconstruction from Light Field Images: A Model-free Approach</v>
      </c>
      <c r="B136" t="str">
        <f ca="1">IF(ISBLANK(A136), "", VLOOKUP(A136,'Annotated Papers'!135:1174,2,FALSE))</f>
        <v>CV</v>
      </c>
      <c r="C136" s="24">
        <f ca="1">IF(ISBLANK(A136), "", VLOOKUP(A136,'Annotated Papers'!135:1174,5,FALSE))</f>
        <v>0</v>
      </c>
      <c r="D136">
        <f ca="1">IF(ISBLANK(A136), "", IF(COUNTIF('Annotated Papers'!A:A,A136)&gt;1,1,0))</f>
        <v>1</v>
      </c>
      <c r="E136">
        <f ca="1">IF(ISBLANK(A136), "", IF(SUMIFS('Annotated Papers'!G:G, 'Annotated Papers'!A:A,A136)&gt;0,1,0))</f>
        <v>0</v>
      </c>
      <c r="F136">
        <f ca="1">IF(ISBLANK(A136), "", IF(SUMIFS('Annotated Papers'!H:H, 'Annotated Papers'!A:A,A136)&gt;0,1,0))</f>
        <v>1</v>
      </c>
      <c r="G136" t="e">
        <f ca="1">IF(ISBLANK(A136), "", IF(SUMIFS('Annotated Papers'!I:I, 'Annotated Papers'!A:A,A136)&gt;0,1,0))</f>
        <v>#NAME?</v>
      </c>
      <c r="H136">
        <f ca="1">IF(ISBLANK(A136), "", IF(SUMIFS('Annotated Papers'!L:L, 'Annotated Papers'!A:A,A136)&gt;0,1,0))</f>
        <v>1</v>
      </c>
      <c r="I136" s="24">
        <f ca="1">IF(ISBLANK(A136), "", VLOOKUP(A136,'Annotated Papers'!135:1174,4,FALSE))</f>
        <v>0</v>
      </c>
    </row>
    <row r="137" spans="1:9" ht="14">
      <c r="A137" s="25" t="str">
        <f ca="1">IFERROR(__xludf.DUMMYFUNCTION("""COMPUTED_VALUE"""),"Face De-Spoofing: Anti-Spoofing via Noise Modeling")</f>
        <v>Face De-Spoofing: Anti-Spoofing via Noise Modeling</v>
      </c>
      <c r="B137" t="str">
        <f ca="1">IF(ISBLANK(A137), "", VLOOKUP(A137,'Annotated Papers'!136:1175,2,FALSE))</f>
        <v>CV</v>
      </c>
      <c r="C137" s="24">
        <f ca="1">IF(ISBLANK(A137), "", VLOOKUP(A137,'Annotated Papers'!136:1175,5,FALSE))</f>
        <v>0</v>
      </c>
      <c r="D137">
        <f ca="1">IF(ISBLANK(A137), "", IF(COUNTIF('Annotated Papers'!A:A,A137)&gt;1,1,0))</f>
        <v>1</v>
      </c>
      <c r="E137">
        <f ca="1">IF(ISBLANK(A137), "", IF(SUMIFS('Annotated Papers'!G:G, 'Annotated Papers'!A:A,A137)&gt;0,1,0))</f>
        <v>0</v>
      </c>
      <c r="F137">
        <f ca="1">IF(ISBLANK(A137), "", IF(SUMIFS('Annotated Papers'!H:H, 'Annotated Papers'!A:A,A137)&gt;0,1,0))</f>
        <v>1</v>
      </c>
      <c r="G137" t="e">
        <f ca="1">IF(ISBLANK(A137), "", IF(SUMIFS('Annotated Papers'!I:I, 'Annotated Papers'!A:A,A137)&gt;0,1,0))</f>
        <v>#NAME?</v>
      </c>
      <c r="H137">
        <f ca="1">IF(ISBLANK(A137), "", IF(SUMIFS('Annotated Papers'!L:L, 'Annotated Papers'!A:A,A137)&gt;0,1,0))</f>
        <v>0</v>
      </c>
      <c r="I137" s="24">
        <f ca="1">IF(ISBLANK(A137), "", VLOOKUP(A137,'Annotated Papers'!136:1175,4,FALSE))</f>
        <v>0</v>
      </c>
    </row>
    <row r="138" spans="1:9" ht="14">
      <c r="A138" s="25" t="str">
        <f ca="1">IFERROR(__xludf.DUMMYFUNCTION("""COMPUTED_VALUE"""),"Eigendecomposition-free Training of Deep Networks with Zero Eigenvalue-based Losses")</f>
        <v>Eigendecomposition-free Training of Deep Networks with Zero Eigenvalue-based Losses</v>
      </c>
      <c r="B138" t="str">
        <f ca="1">IF(ISBLANK(A138), "", VLOOKUP(A138,'Annotated Papers'!137:1176,2,FALSE))</f>
        <v>CV</v>
      </c>
      <c r="C138" s="24">
        <f ca="1">IF(ISBLANK(A138), "", VLOOKUP(A138,'Annotated Papers'!137:1176,5,FALSE))</f>
        <v>1</v>
      </c>
      <c r="D138">
        <f ca="1">IF(ISBLANK(A138), "", IF(COUNTIF('Annotated Papers'!A:A,A138)&gt;1,1,0))</f>
        <v>1</v>
      </c>
      <c r="E138">
        <f ca="1">IF(ISBLANK(A138), "", IF(SUMIFS('Annotated Papers'!G:G, 'Annotated Papers'!A:A,A138)&gt;0,1,0))</f>
        <v>0</v>
      </c>
      <c r="F138">
        <f ca="1">IF(ISBLANK(A138), "", IF(SUMIFS('Annotated Papers'!H:H, 'Annotated Papers'!A:A,A138)&gt;0,1,0))</f>
        <v>1</v>
      </c>
      <c r="G138" t="e">
        <f ca="1">IF(ISBLANK(A138), "", IF(SUMIFS('Annotated Papers'!I:I, 'Annotated Papers'!A:A,A138)&gt;0,1,0))</f>
        <v>#NAME?</v>
      </c>
      <c r="H138">
        <f ca="1">IF(ISBLANK(A138), "", IF(SUMIFS('Annotated Papers'!L:L, 'Annotated Papers'!A:A,A138)&gt;0,1,0))</f>
        <v>0</v>
      </c>
      <c r="I138" s="24">
        <f ca="1">IF(ISBLANK(A138), "", VLOOKUP(A138,'Annotated Papers'!137:1176,4,FALSE))</f>
        <v>0</v>
      </c>
    </row>
    <row r="139" spans="1:9" ht="14">
      <c r="A139" s="25" t="str">
        <f ca="1">IFERROR(__xludf.DUMMYFUNCTION("""COMPUTED_VALUE"""),"Cross-Modal Ranking with Soft Consistency and Noisy Labels for Robust RGB-T Tracking")</f>
        <v>Cross-Modal Ranking with Soft Consistency and Noisy Labels for Robust RGB-T Tracking</v>
      </c>
      <c r="B139" t="str">
        <f ca="1">IF(ISBLANK(A139), "", VLOOKUP(A139,'Annotated Papers'!138:1177,2,FALSE))</f>
        <v>CV</v>
      </c>
      <c r="C139" s="24">
        <f ca="1">IF(ISBLANK(A139), "", VLOOKUP(A139,'Annotated Papers'!138:1177,5,FALSE))</f>
        <v>1</v>
      </c>
      <c r="D139">
        <f ca="1">IF(ISBLANK(A139), "", IF(COUNTIF('Annotated Papers'!A:A,A139)&gt;1,1,0))</f>
        <v>1</v>
      </c>
      <c r="E139">
        <f ca="1">IF(ISBLANK(A139), "", IF(SUMIFS('Annotated Papers'!G:G, 'Annotated Papers'!A:A,A139)&gt;0,1,0))</f>
        <v>0</v>
      </c>
      <c r="F139">
        <f ca="1">IF(ISBLANK(A139), "", IF(SUMIFS('Annotated Papers'!H:H, 'Annotated Papers'!A:A,A139)&gt;0,1,0))</f>
        <v>1</v>
      </c>
      <c r="G139" t="e">
        <f ca="1">IF(ISBLANK(A139), "", IF(SUMIFS('Annotated Papers'!I:I, 'Annotated Papers'!A:A,A139)&gt;0,1,0))</f>
        <v>#NAME?</v>
      </c>
      <c r="H139">
        <f ca="1">IF(ISBLANK(A139), "", IF(SUMIFS('Annotated Papers'!L:L, 'Annotated Papers'!A:A,A139)&gt;0,1,0))</f>
        <v>0</v>
      </c>
      <c r="I139" s="24">
        <f ca="1">IF(ISBLANK(A139), "", VLOOKUP(A139,'Annotated Papers'!138:1177,4,FALSE))</f>
        <v>0</v>
      </c>
    </row>
    <row r="140" spans="1:9" ht="14">
      <c r="A140" s="25" t="str">
        <f ca="1">IFERROR(__xludf.DUMMYFUNCTION("""COMPUTED_VALUE"""),"HybridFusion: Real-Time Performance Capture Using a Single Depth Sensor and Sparse IMUs")</f>
        <v>HybridFusion: Real-Time Performance Capture Using a Single Depth Sensor and Sparse IMUs</v>
      </c>
      <c r="B140" t="str">
        <f ca="1">IF(ISBLANK(A140), "", VLOOKUP(A140,'Annotated Papers'!139:1178,2,FALSE))</f>
        <v>CV</v>
      </c>
      <c r="C140" s="24">
        <f ca="1">IF(ISBLANK(A140), "", VLOOKUP(A140,'Annotated Papers'!139:1178,5,FALSE))</f>
        <v>0</v>
      </c>
      <c r="D140">
        <f ca="1">IF(ISBLANK(A140), "", IF(COUNTIF('Annotated Papers'!A:A,A140)&gt;1,1,0))</f>
        <v>1</v>
      </c>
      <c r="E140">
        <f ca="1">IF(ISBLANK(A140), "", IF(SUMIFS('Annotated Papers'!G:G, 'Annotated Papers'!A:A,A140)&gt;0,1,0))</f>
        <v>0</v>
      </c>
      <c r="F140">
        <f ca="1">IF(ISBLANK(A140), "", IF(SUMIFS('Annotated Papers'!H:H, 'Annotated Papers'!A:A,A140)&gt;0,1,0))</f>
        <v>1</v>
      </c>
      <c r="G140" t="e">
        <f ca="1">IF(ISBLANK(A140), "", IF(SUMIFS('Annotated Papers'!I:I, 'Annotated Papers'!A:A,A140)&gt;0,1,0))</f>
        <v>#NAME?</v>
      </c>
      <c r="H140">
        <f ca="1">IF(ISBLANK(A140), "", IF(SUMIFS('Annotated Papers'!L:L, 'Annotated Papers'!A:A,A140)&gt;0,1,0))</f>
        <v>1</v>
      </c>
      <c r="I140" s="24">
        <f ca="1">IF(ISBLANK(A140), "", VLOOKUP(A140,'Annotated Papers'!139:1178,4,FALSE))</f>
        <v>0</v>
      </c>
    </row>
    <row r="141" spans="1:9" ht="14">
      <c r="A141" s="25" t="str">
        <f ca="1">IFERROR(__xludf.DUMMYFUNCTION("""COMPUTED_VALUE"""),"Joint Estimation of Camera Pose, Depth, Deblurring, and Super-Resolution From a Blurred Image Sequence")</f>
        <v>Joint Estimation of Camera Pose, Depth, Deblurring, and Super-Resolution From a Blurred Image Sequence</v>
      </c>
      <c r="B141" t="str">
        <f ca="1">IF(ISBLANK(A141), "", VLOOKUP(A141,'Annotated Papers'!140:1179,2,FALSE))</f>
        <v>CV</v>
      </c>
      <c r="C141" s="24">
        <f ca="1">IF(ISBLANK(A141), "", VLOOKUP(A141,'Annotated Papers'!140:1179,5,FALSE))</f>
        <v>0</v>
      </c>
      <c r="D141">
        <f ca="1">IF(ISBLANK(A141), "", IF(COUNTIF('Annotated Papers'!A:A,A141)&gt;1,1,0))</f>
        <v>1</v>
      </c>
      <c r="E141">
        <f ca="1">IF(ISBLANK(A141), "", IF(SUMIFS('Annotated Papers'!G:G, 'Annotated Papers'!A:A,A141)&gt;0,1,0))</f>
        <v>0</v>
      </c>
      <c r="F141">
        <f ca="1">IF(ISBLANK(A141), "", IF(SUMIFS('Annotated Papers'!H:H, 'Annotated Papers'!A:A,A141)&gt;0,1,0))</f>
        <v>0</v>
      </c>
      <c r="G141" t="e">
        <f ca="1">IF(ISBLANK(A141), "", IF(SUMIFS('Annotated Papers'!I:I, 'Annotated Papers'!A:A,A141)&gt;0,1,0))</f>
        <v>#NAME?</v>
      </c>
      <c r="H141">
        <f ca="1">IF(ISBLANK(A141), "", IF(SUMIFS('Annotated Papers'!L:L, 'Annotated Papers'!A:A,A141)&gt;0,1,0))</f>
        <v>0</v>
      </c>
      <c r="I141" s="24">
        <f ca="1">IF(ISBLANK(A141), "", VLOOKUP(A141,'Annotated Papers'!140:1179,4,FALSE))</f>
        <v>0</v>
      </c>
    </row>
    <row r="142" spans="1:9" ht="14">
      <c r="A142" s="25" t="str">
        <f ca="1">IFERROR(__xludf.DUMMYFUNCTION("""COMPUTED_VALUE"""),"Turning Corners Into Cameras: Principles and Methods")</f>
        <v>Turning Corners Into Cameras: Principles and Methods</v>
      </c>
      <c r="B142" t="str">
        <f ca="1">IF(ISBLANK(A142), "", VLOOKUP(A142,'Annotated Papers'!141:1180,2,FALSE))</f>
        <v>CV</v>
      </c>
      <c r="C142" s="24">
        <f ca="1">IF(ISBLANK(A142), "", VLOOKUP(A142,'Annotated Papers'!141:1180,5,FALSE))</f>
        <v>0</v>
      </c>
      <c r="D142">
        <f ca="1">IF(ISBLANK(A142), "", IF(COUNTIF('Annotated Papers'!A:A,A142)&gt;1,1,0))</f>
        <v>1</v>
      </c>
      <c r="E142">
        <f ca="1">IF(ISBLANK(A142), "", IF(SUMIFS('Annotated Papers'!G:G, 'Annotated Papers'!A:A,A142)&gt;0,1,0))</f>
        <v>0</v>
      </c>
      <c r="F142">
        <f ca="1">IF(ISBLANK(A142), "", IF(SUMIFS('Annotated Papers'!H:H, 'Annotated Papers'!A:A,A142)&gt;0,1,0))</f>
        <v>0</v>
      </c>
      <c r="G142" t="e">
        <f ca="1">IF(ISBLANK(A142), "", IF(SUMIFS('Annotated Papers'!I:I, 'Annotated Papers'!A:A,A142)&gt;0,1,0))</f>
        <v>#NAME?</v>
      </c>
      <c r="H142">
        <f ca="1">IF(ISBLANK(A142), "", IF(SUMIFS('Annotated Papers'!L:L, 'Annotated Papers'!A:A,A142)&gt;0,1,0))</f>
        <v>0</v>
      </c>
      <c r="I142" s="24">
        <f ca="1">IF(ISBLANK(A142), "", VLOOKUP(A142,'Annotated Papers'!141:1180,4,FALSE))</f>
        <v>0</v>
      </c>
    </row>
    <row r="143" spans="1:9" ht="14">
      <c r="A143" s="25" t="str">
        <f ca="1">IFERROR(__xludf.DUMMYFUNCTION("""COMPUTED_VALUE"""),"An Analysis of Visual Question Answering Algorithms")</f>
        <v>An Analysis of Visual Question Answering Algorithms</v>
      </c>
      <c r="B143" t="str">
        <f ca="1">IF(ISBLANK(A143), "", VLOOKUP(A143,'Annotated Papers'!142:1181,2,FALSE))</f>
        <v>CV</v>
      </c>
      <c r="C143" s="24">
        <f ca="1">IF(ISBLANK(A143), "", VLOOKUP(A143,'Annotated Papers'!142:1181,5,FALSE))</f>
        <v>0</v>
      </c>
      <c r="D143">
        <f ca="1">IF(ISBLANK(A143), "", IF(COUNTIF('Annotated Papers'!A:A,A143)&gt;1,1,0))</f>
        <v>0</v>
      </c>
      <c r="E143">
        <f ca="1">IF(ISBLANK(A143), "", IF(SUMIFS('Annotated Papers'!G:G, 'Annotated Papers'!A:A,A143)&gt;0,1,0))</f>
        <v>0</v>
      </c>
      <c r="F143">
        <f ca="1">IF(ISBLANK(A143), "", IF(SUMIFS('Annotated Papers'!H:H, 'Annotated Papers'!A:A,A143)&gt;0,1,0))</f>
        <v>1</v>
      </c>
      <c r="G143" t="e">
        <f ca="1">IF(ISBLANK(A143), "", IF(SUMIFS('Annotated Papers'!I:I, 'Annotated Papers'!A:A,A143)&gt;0,1,0))</f>
        <v>#NAME?</v>
      </c>
      <c r="H143">
        <f ca="1">IF(ISBLANK(A143), "", IF(SUMIFS('Annotated Papers'!L:L, 'Annotated Papers'!A:A,A143)&gt;0,1,0))</f>
        <v>0</v>
      </c>
      <c r="I143" s="24">
        <f ca="1">IF(ISBLANK(A143), "", VLOOKUP(A143,'Annotated Papers'!142:1181,4,FALSE))</f>
        <v>0</v>
      </c>
    </row>
    <row r="144" spans="1:9" ht="14">
      <c r="A144" s="25" t="str">
        <f ca="1">IFERROR(__xludf.DUMMYFUNCTION("""COMPUTED_VALUE"""),"Semantic Video CNNs Through Representation Warping")</f>
        <v>Semantic Video CNNs Through Representation Warping</v>
      </c>
      <c r="B144" t="str">
        <f ca="1">IF(ISBLANK(A144), "", VLOOKUP(A144,'Annotated Papers'!143:1182,2,FALSE))</f>
        <v>CV</v>
      </c>
      <c r="C144" s="24">
        <f ca="1">IF(ISBLANK(A144), "", VLOOKUP(A144,'Annotated Papers'!143:1182,5,FALSE))</f>
        <v>1</v>
      </c>
      <c r="D144">
        <f ca="1">IF(ISBLANK(A144), "", IF(COUNTIF('Annotated Papers'!A:A,A144)&gt;1,1,0))</f>
        <v>1</v>
      </c>
      <c r="E144">
        <f ca="1">IF(ISBLANK(A144), "", IF(SUMIFS('Annotated Papers'!G:G, 'Annotated Papers'!A:A,A144)&gt;0,1,0))</f>
        <v>0</v>
      </c>
      <c r="F144">
        <f ca="1">IF(ISBLANK(A144), "", IF(SUMIFS('Annotated Papers'!H:H, 'Annotated Papers'!A:A,A144)&gt;0,1,0))</f>
        <v>1</v>
      </c>
      <c r="G144" t="e">
        <f ca="1">IF(ISBLANK(A144), "", IF(SUMIFS('Annotated Papers'!I:I, 'Annotated Papers'!A:A,A144)&gt;0,1,0))</f>
        <v>#NAME?</v>
      </c>
      <c r="H144">
        <f ca="1">IF(ISBLANK(A144), "", IF(SUMIFS('Annotated Papers'!L:L, 'Annotated Papers'!A:A,A144)&gt;0,1,0))</f>
        <v>0</v>
      </c>
      <c r="I144" s="24">
        <f ca="1">IF(ISBLANK(A144), "", VLOOKUP(A144,'Annotated Papers'!143:1182,4,FALSE))</f>
        <v>0</v>
      </c>
    </row>
    <row r="145" spans="1:9" ht="14">
      <c r="A145" s="25" t="str">
        <f ca="1">IFERROR(__xludf.DUMMYFUNCTION("""COMPUTED_VALUE"""),"Attribute-Enhanced Face Recognition With Neural Tensor Fusion Networks")</f>
        <v>Attribute-Enhanced Face Recognition With Neural Tensor Fusion Networks</v>
      </c>
      <c r="B145" t="str">
        <f ca="1">IF(ISBLANK(A145), "", VLOOKUP(A145,'Annotated Papers'!144:1183,2,FALSE))</f>
        <v>CV</v>
      </c>
      <c r="C145" s="24">
        <f ca="1">IF(ISBLANK(A145), "", VLOOKUP(A145,'Annotated Papers'!144:1183,5,FALSE))</f>
        <v>1</v>
      </c>
      <c r="D145">
        <f ca="1">IF(ISBLANK(A145), "", IF(COUNTIF('Annotated Papers'!A:A,A145)&gt;1,1,0))</f>
        <v>1</v>
      </c>
      <c r="E145">
        <f ca="1">IF(ISBLANK(A145), "", IF(SUMIFS('Annotated Papers'!G:G, 'Annotated Papers'!A:A,A145)&gt;0,1,0))</f>
        <v>0</v>
      </c>
      <c r="F145">
        <f ca="1">IF(ISBLANK(A145), "", IF(SUMIFS('Annotated Papers'!H:H, 'Annotated Papers'!A:A,A145)&gt;0,1,0))</f>
        <v>1</v>
      </c>
      <c r="G145" t="e">
        <f ca="1">IF(ISBLANK(A145), "", IF(SUMIFS('Annotated Papers'!I:I, 'Annotated Papers'!A:A,A145)&gt;0,1,0))</f>
        <v>#NAME?</v>
      </c>
      <c r="H145">
        <f ca="1">IF(ISBLANK(A145), "", IF(SUMIFS('Annotated Papers'!L:L, 'Annotated Papers'!A:A,A145)&gt;0,1,0))</f>
        <v>0</v>
      </c>
      <c r="I145" s="24">
        <f ca="1">IF(ISBLANK(A145), "", VLOOKUP(A145,'Annotated Papers'!144:1183,4,FALSE))</f>
        <v>0</v>
      </c>
    </row>
    <row r="146" spans="1:9" ht="14">
      <c r="A146" s="25" t="str">
        <f ca="1">IFERROR(__xludf.DUMMYFUNCTION("""COMPUTED_VALUE"""),"Low-Latency Video Semantic Segmentation")</f>
        <v>Low-Latency Video Semantic Segmentation</v>
      </c>
      <c r="B146" t="str">
        <f ca="1">IF(ISBLANK(A146), "", VLOOKUP(A146,'Annotated Papers'!145:1184,2,FALSE))</f>
        <v>CV</v>
      </c>
      <c r="C146" s="24">
        <f ca="1">IF(ISBLANK(A146), "", VLOOKUP(A146,'Annotated Papers'!145:1184,5,FALSE))</f>
        <v>0</v>
      </c>
      <c r="D146">
        <f ca="1">IF(ISBLANK(A146), "", IF(COUNTIF('Annotated Papers'!A:A,A146)&gt;1,1,0))</f>
        <v>1</v>
      </c>
      <c r="E146">
        <f ca="1">IF(ISBLANK(A146), "", IF(SUMIFS('Annotated Papers'!G:G, 'Annotated Papers'!A:A,A146)&gt;0,1,0))</f>
        <v>0</v>
      </c>
      <c r="F146">
        <f ca="1">IF(ISBLANK(A146), "", IF(SUMIFS('Annotated Papers'!H:H, 'Annotated Papers'!A:A,A146)&gt;0,1,0))</f>
        <v>1</v>
      </c>
      <c r="G146" t="e">
        <f ca="1">IF(ISBLANK(A146), "", IF(SUMIFS('Annotated Papers'!I:I, 'Annotated Papers'!A:A,A146)&gt;0,1,0))</f>
        <v>#NAME?</v>
      </c>
      <c r="H146">
        <f ca="1">IF(ISBLANK(A146), "", IF(SUMIFS('Annotated Papers'!L:L, 'Annotated Papers'!A:A,A146)&gt;0,1,0))</f>
        <v>0</v>
      </c>
      <c r="I146" s="24">
        <f ca="1">IF(ISBLANK(A146), "", VLOOKUP(A146,'Annotated Papers'!145:1184,4,FALSE))</f>
        <v>0</v>
      </c>
    </row>
    <row r="147" spans="1:9" ht="14">
      <c r="A147" s="25" t="str">
        <f ca="1">IFERROR(__xludf.DUMMYFUNCTION("""COMPUTED_VALUE"""),"An Efficient and Provable Approach for Mixture Proportion Estimation Using Linear Independence Assumption")</f>
        <v>An Efficient and Provable Approach for Mixture Proportion Estimation Using Linear Independence Assumption</v>
      </c>
      <c r="B147" t="str">
        <f ca="1">IF(ISBLANK(A147), "", VLOOKUP(A147,'Annotated Papers'!146:1185,2,FALSE))</f>
        <v>CV</v>
      </c>
      <c r="C147" s="24">
        <f ca="1">IF(ISBLANK(A147), "", VLOOKUP(A147,'Annotated Papers'!146:1185,5,FALSE))</f>
        <v>0</v>
      </c>
      <c r="D147">
        <f ca="1">IF(ISBLANK(A147), "", IF(COUNTIF('Annotated Papers'!A:A,A147)&gt;1,1,0))</f>
        <v>1</v>
      </c>
      <c r="E147">
        <f ca="1">IF(ISBLANK(A147), "", IF(SUMIFS('Annotated Papers'!G:G, 'Annotated Papers'!A:A,A147)&gt;0,1,0))</f>
        <v>0</v>
      </c>
      <c r="F147">
        <f ca="1">IF(ISBLANK(A147), "", IF(SUMIFS('Annotated Papers'!H:H, 'Annotated Papers'!A:A,A147)&gt;0,1,0))</f>
        <v>1</v>
      </c>
      <c r="G147" t="e">
        <f ca="1">IF(ISBLANK(A147), "", IF(SUMIFS('Annotated Papers'!I:I, 'Annotated Papers'!A:A,A147)&gt;0,1,0))</f>
        <v>#NAME?</v>
      </c>
      <c r="H147">
        <f ca="1">IF(ISBLANK(A147), "", IF(SUMIFS('Annotated Papers'!L:L, 'Annotated Papers'!A:A,A147)&gt;0,1,0))</f>
        <v>1</v>
      </c>
      <c r="I147" s="24">
        <f ca="1">IF(ISBLANK(A147), "", VLOOKUP(A147,'Annotated Papers'!146:1185,4,FALSE))</f>
        <v>0</v>
      </c>
    </row>
    <row r="148" spans="1:9" ht="14">
      <c r="A148" s="25" t="str">
        <f ca="1">IFERROR(__xludf.DUMMYFUNCTION("""COMPUTED_VALUE"""),"Learning Spatial-Temporal Regularized Correlation Filters for Visual Tracking")</f>
        <v>Learning Spatial-Temporal Regularized Correlation Filters for Visual Tracking</v>
      </c>
      <c r="B148" t="str">
        <f ca="1">IF(ISBLANK(A148), "", VLOOKUP(A148,'Annotated Papers'!147:1186,2,FALSE))</f>
        <v>CV</v>
      </c>
      <c r="C148" s="24">
        <f ca="1">IF(ISBLANK(A148), "", VLOOKUP(A148,'Annotated Papers'!147:1186,5,FALSE))</f>
        <v>1</v>
      </c>
      <c r="D148">
        <f ca="1">IF(ISBLANK(A148), "", IF(COUNTIF('Annotated Papers'!A:A,A148)&gt;1,1,0))</f>
        <v>1</v>
      </c>
      <c r="E148">
        <f ca="1">IF(ISBLANK(A148), "", IF(SUMIFS('Annotated Papers'!G:G, 'Annotated Papers'!A:A,A148)&gt;0,1,0))</f>
        <v>0</v>
      </c>
      <c r="F148">
        <f ca="1">IF(ISBLANK(A148), "", IF(SUMIFS('Annotated Papers'!H:H, 'Annotated Papers'!A:A,A148)&gt;0,1,0))</f>
        <v>1</v>
      </c>
      <c r="G148" t="e">
        <f ca="1">IF(ISBLANK(A148), "", IF(SUMIFS('Annotated Papers'!I:I, 'Annotated Papers'!A:A,A148)&gt;0,1,0))</f>
        <v>#NAME?</v>
      </c>
      <c r="H148">
        <f ca="1">IF(ISBLANK(A148), "", IF(SUMIFS('Annotated Papers'!L:L, 'Annotated Papers'!A:A,A148)&gt;0,1,0))</f>
        <v>0</v>
      </c>
      <c r="I148" s="24">
        <f ca="1">IF(ISBLANK(A148), "", VLOOKUP(A148,'Annotated Papers'!147:1186,4,FALSE))</f>
        <v>0</v>
      </c>
    </row>
    <row r="149" spans="1:9" ht="14">
      <c r="A149" s="25" t="str">
        <f ca="1">IFERROR(__xludf.DUMMYFUNCTION("""COMPUTED_VALUE"""),"Revisiting Salient Object Detection: Simultaneous Detection, Ranking, and Subitizing of Multiple Salient Objects")</f>
        <v>Revisiting Salient Object Detection: Simultaneous Detection, Ranking, and Subitizing of Multiple Salient Objects</v>
      </c>
      <c r="B149" t="str">
        <f ca="1">IF(ISBLANK(A149), "", VLOOKUP(A149,'Annotated Papers'!148:1187,2,FALSE))</f>
        <v>CV</v>
      </c>
      <c r="C149" s="24">
        <f ca="1">IF(ISBLANK(A149), "", VLOOKUP(A149,'Annotated Papers'!148:1187,5,FALSE))</f>
        <v>0</v>
      </c>
      <c r="D149">
        <f ca="1">IF(ISBLANK(A149), "", IF(COUNTIF('Annotated Papers'!A:A,A149)&gt;1,1,0))</f>
        <v>1</v>
      </c>
      <c r="E149">
        <f ca="1">IF(ISBLANK(A149), "", IF(SUMIFS('Annotated Papers'!G:G, 'Annotated Papers'!A:A,A149)&gt;0,1,0))</f>
        <v>0</v>
      </c>
      <c r="F149">
        <f ca="1">IF(ISBLANK(A149), "", IF(SUMIFS('Annotated Papers'!H:H, 'Annotated Papers'!A:A,A149)&gt;0,1,0))</f>
        <v>1</v>
      </c>
      <c r="G149" t="e">
        <f ca="1">IF(ISBLANK(A149), "", IF(SUMIFS('Annotated Papers'!I:I, 'Annotated Papers'!A:A,A149)&gt;0,1,0))</f>
        <v>#NAME?</v>
      </c>
      <c r="H149">
        <f ca="1">IF(ISBLANK(A149), "", IF(SUMIFS('Annotated Papers'!L:L, 'Annotated Papers'!A:A,A149)&gt;0,1,0))</f>
        <v>0</v>
      </c>
      <c r="I149" s="24">
        <f ca="1">IF(ISBLANK(A149), "", VLOOKUP(A149,'Annotated Papers'!148:1187,4,FALSE))</f>
        <v>0</v>
      </c>
    </row>
    <row r="150" spans="1:9" ht="14">
      <c r="A150" s="25" t="str">
        <f ca="1">IFERROR(__xludf.DUMMYFUNCTION("""COMPUTED_VALUE"""),"Learning Deep Models for Face Anti-Spoofing: Binary or Auxiliary Supervision")</f>
        <v>Learning Deep Models for Face Anti-Spoofing: Binary or Auxiliary Supervision</v>
      </c>
      <c r="B150" t="str">
        <f ca="1">IF(ISBLANK(A150), "", VLOOKUP(A150,'Annotated Papers'!149:1188,2,FALSE))</f>
        <v>CV</v>
      </c>
      <c r="C150" s="24">
        <f ca="1">IF(ISBLANK(A150), "", VLOOKUP(A150,'Annotated Papers'!149:1188,5,FALSE))</f>
        <v>0</v>
      </c>
      <c r="D150">
        <f ca="1">IF(ISBLANK(A150), "", IF(COUNTIF('Annotated Papers'!A:A,A150)&gt;1,1,0))</f>
        <v>1</v>
      </c>
      <c r="E150">
        <f ca="1">IF(ISBLANK(A150), "", IF(SUMIFS('Annotated Papers'!G:G, 'Annotated Papers'!A:A,A150)&gt;0,1,0))</f>
        <v>0</v>
      </c>
      <c r="F150">
        <f ca="1">IF(ISBLANK(A150), "", IF(SUMIFS('Annotated Papers'!H:H, 'Annotated Papers'!A:A,A150)&gt;0,1,0))</f>
        <v>1</v>
      </c>
      <c r="G150" t="e">
        <f ca="1">IF(ISBLANK(A150), "", IF(SUMIFS('Annotated Papers'!I:I, 'Annotated Papers'!A:A,A150)&gt;0,1,0))</f>
        <v>#NAME?</v>
      </c>
      <c r="H150">
        <f ca="1">IF(ISBLANK(A150), "", IF(SUMIFS('Annotated Papers'!L:L, 'Annotated Papers'!A:A,A150)&gt;0,1,0))</f>
        <v>1</v>
      </c>
      <c r="I150" s="24">
        <f ca="1">IF(ISBLANK(A150), "", VLOOKUP(A150,'Annotated Papers'!149:1188,4,FALSE))</f>
        <v>0</v>
      </c>
    </row>
    <row r="151" spans="1:9" ht="14">
      <c r="A151" s="25" t="str">
        <f ca="1">IFERROR(__xludf.DUMMYFUNCTION("""COMPUTED_VALUE"""),"Human Appearance Transfer")</f>
        <v>Human Appearance Transfer</v>
      </c>
      <c r="B151" t="str">
        <f ca="1">IF(ISBLANK(A151), "", VLOOKUP(A151,'Annotated Papers'!150:1189,2,FALSE))</f>
        <v>CV</v>
      </c>
      <c r="C151" s="24">
        <f ca="1">IF(ISBLANK(A151), "", VLOOKUP(A151,'Annotated Papers'!150:1189,5,FALSE))</f>
        <v>0</v>
      </c>
      <c r="D151">
        <f ca="1">IF(ISBLANK(A151), "", IF(COUNTIF('Annotated Papers'!A:A,A151)&gt;1,1,0))</f>
        <v>0</v>
      </c>
      <c r="E151">
        <f ca="1">IF(ISBLANK(A151), "", IF(SUMIFS('Annotated Papers'!G:G, 'Annotated Papers'!A:A,A151)&gt;0,1,0))</f>
        <v>0</v>
      </c>
      <c r="F151">
        <f ca="1">IF(ISBLANK(A151), "", IF(SUMIFS('Annotated Papers'!H:H, 'Annotated Papers'!A:A,A151)&gt;0,1,0))</f>
        <v>1</v>
      </c>
      <c r="G151" t="e">
        <f ca="1">IF(ISBLANK(A151), "", IF(SUMIFS('Annotated Papers'!I:I, 'Annotated Papers'!A:A,A151)&gt;0,1,0))</f>
        <v>#NAME?</v>
      </c>
      <c r="H151">
        <f ca="1">IF(ISBLANK(A151), "", IF(SUMIFS('Annotated Papers'!L:L, 'Annotated Papers'!A:A,A151)&gt;0,1,0))</f>
        <v>1</v>
      </c>
      <c r="I151" s="24">
        <f ca="1">IF(ISBLANK(A151), "", VLOOKUP(A151,'Annotated Papers'!150:1189,4,FALSE))</f>
        <v>0</v>
      </c>
    </row>
    <row r="152" spans="1:9" ht="14">
      <c r="A152" s="25" t="str">
        <f ca="1">IFERROR(__xludf.DUMMYFUNCTION("""COMPUTED_VALUE"""),"Style Aggregated Network for Facial Landmark Detection")</f>
        <v>Style Aggregated Network for Facial Landmark Detection</v>
      </c>
      <c r="B152" t="str">
        <f ca="1">IF(ISBLANK(A152), "", VLOOKUP(A152,'Annotated Papers'!151:1190,2,FALSE))</f>
        <v>CV</v>
      </c>
      <c r="C152" s="24">
        <f ca="1">IF(ISBLANK(A152), "", VLOOKUP(A152,'Annotated Papers'!151:1190,5,FALSE))</f>
        <v>1</v>
      </c>
      <c r="D152">
        <f ca="1">IF(ISBLANK(A152), "", IF(COUNTIF('Annotated Papers'!A:A,A152)&gt;1,1,0))</f>
        <v>1</v>
      </c>
      <c r="E152">
        <f ca="1">IF(ISBLANK(A152), "", IF(SUMIFS('Annotated Papers'!G:G, 'Annotated Papers'!A:A,A152)&gt;0,1,0))</f>
        <v>0</v>
      </c>
      <c r="F152">
        <f ca="1">IF(ISBLANK(A152), "", IF(SUMIFS('Annotated Papers'!H:H, 'Annotated Papers'!A:A,A152)&gt;0,1,0))</f>
        <v>1</v>
      </c>
      <c r="G152" t="e">
        <f ca="1">IF(ISBLANK(A152), "", IF(SUMIFS('Annotated Papers'!I:I, 'Annotated Papers'!A:A,A152)&gt;0,1,0))</f>
        <v>#NAME?</v>
      </c>
      <c r="H152">
        <f ca="1">IF(ISBLANK(A152), "", IF(SUMIFS('Annotated Papers'!L:L, 'Annotated Papers'!A:A,A152)&gt;0,1,0))</f>
        <v>0</v>
      </c>
      <c r="I152" s="24">
        <f ca="1">IF(ISBLANK(A152), "", VLOOKUP(A152,'Annotated Papers'!151:1190,4,FALSE))</f>
        <v>0</v>
      </c>
    </row>
    <row r="153" spans="1:9" ht="14">
      <c r="A153" s="25" t="str">
        <f ca="1">IFERROR(__xludf.DUMMYFUNCTION("""COMPUTED_VALUE"""),"Efficient Optimization for Rank-Based Loss Functions")</f>
        <v>Efficient Optimization for Rank-Based Loss Functions</v>
      </c>
      <c r="B153" t="str">
        <f ca="1">IF(ISBLANK(A153), "", VLOOKUP(A153,'Annotated Papers'!152:1191,2,FALSE))</f>
        <v>CV</v>
      </c>
      <c r="C153" s="24">
        <f ca="1">IF(ISBLANK(A153), "", VLOOKUP(A153,'Annotated Papers'!152:1191,5,FALSE))</f>
        <v>0</v>
      </c>
      <c r="D153">
        <f ca="1">IF(ISBLANK(A153), "", IF(COUNTIF('Annotated Papers'!A:A,A153)&gt;1,1,0))</f>
        <v>1</v>
      </c>
      <c r="E153">
        <f ca="1">IF(ISBLANK(A153), "", IF(SUMIFS('Annotated Papers'!G:G, 'Annotated Papers'!A:A,A153)&gt;0,1,0))</f>
        <v>0</v>
      </c>
      <c r="F153">
        <f ca="1">IF(ISBLANK(A153), "", IF(SUMIFS('Annotated Papers'!H:H, 'Annotated Papers'!A:A,A153)&gt;0,1,0))</f>
        <v>1</v>
      </c>
      <c r="G153" t="e">
        <f ca="1">IF(ISBLANK(A153), "", IF(SUMIFS('Annotated Papers'!I:I, 'Annotated Papers'!A:A,A153)&gt;0,1,0))</f>
        <v>#NAME?</v>
      </c>
      <c r="H153">
        <f ca="1">IF(ISBLANK(A153), "", IF(SUMIFS('Annotated Papers'!L:L, 'Annotated Papers'!A:A,A153)&gt;0,1,0))</f>
        <v>1</v>
      </c>
      <c r="I153" s="24">
        <f ca="1">IF(ISBLANK(A153), "", VLOOKUP(A153,'Annotated Papers'!152:1191,4,FALSE))</f>
        <v>0</v>
      </c>
    </row>
    <row r="154" spans="1:9" ht="14">
      <c r="A154" s="25" t="str">
        <f ca="1">IFERROR(__xludf.DUMMYFUNCTION("""COMPUTED_VALUE"""),"Two-Step Quantization for Low-Bit Neural Networks")</f>
        <v>Two-Step Quantization for Low-Bit Neural Networks</v>
      </c>
      <c r="B154" t="str">
        <f ca="1">IF(ISBLANK(A154), "", VLOOKUP(A154,'Annotated Papers'!153:1192,2,FALSE))</f>
        <v>CV</v>
      </c>
      <c r="C154" s="24">
        <f ca="1">IF(ISBLANK(A154), "", VLOOKUP(A154,'Annotated Papers'!153:1192,5,FALSE))</f>
        <v>0</v>
      </c>
      <c r="D154">
        <f ca="1">IF(ISBLANK(A154), "", IF(COUNTIF('Annotated Papers'!A:A,A154)&gt;1,1,0))</f>
        <v>1</v>
      </c>
      <c r="E154">
        <f ca="1">IF(ISBLANK(A154), "", IF(SUMIFS('Annotated Papers'!G:G, 'Annotated Papers'!A:A,A154)&gt;0,1,0))</f>
        <v>0</v>
      </c>
      <c r="F154">
        <f ca="1">IF(ISBLANK(A154), "", IF(SUMIFS('Annotated Papers'!H:H, 'Annotated Papers'!A:A,A154)&gt;0,1,0))</f>
        <v>1</v>
      </c>
      <c r="G154" t="e">
        <f ca="1">IF(ISBLANK(A154), "", IF(SUMIFS('Annotated Papers'!I:I, 'Annotated Papers'!A:A,A154)&gt;0,1,0))</f>
        <v>#NAME?</v>
      </c>
      <c r="H154">
        <f ca="1">IF(ISBLANK(A154), "", IF(SUMIFS('Annotated Papers'!L:L, 'Annotated Papers'!A:A,A154)&gt;0,1,0))</f>
        <v>0</v>
      </c>
      <c r="I154" s="24">
        <f ca="1">IF(ISBLANK(A154), "", VLOOKUP(A154,'Annotated Papers'!153:1192,4,FALSE))</f>
        <v>0</v>
      </c>
    </row>
    <row r="155" spans="1:9" ht="14">
      <c r="A155" s="25" t="str">
        <f ca="1">IFERROR(__xludf.DUMMYFUNCTION("""COMPUTED_VALUE"""),"Deep Hashing via Discrepancy Minimization")</f>
        <v>Deep Hashing via Discrepancy Minimization</v>
      </c>
      <c r="B155" t="str">
        <f ca="1">IF(ISBLANK(A155), "", VLOOKUP(A155,'Annotated Papers'!154:1193,2,FALSE))</f>
        <v>CV</v>
      </c>
      <c r="C155" s="24">
        <f ca="1">IF(ISBLANK(A155), "", VLOOKUP(A155,'Annotated Papers'!154:1193,5,FALSE))</f>
        <v>0</v>
      </c>
      <c r="D155">
        <f ca="1">IF(ISBLANK(A155), "", IF(COUNTIF('Annotated Papers'!A:A,A155)&gt;1,1,0))</f>
        <v>1</v>
      </c>
      <c r="E155">
        <f ca="1">IF(ISBLANK(A155), "", IF(SUMIFS('Annotated Papers'!G:G, 'Annotated Papers'!A:A,A155)&gt;0,1,0))</f>
        <v>0</v>
      </c>
      <c r="F155">
        <f ca="1">IF(ISBLANK(A155), "", IF(SUMIFS('Annotated Papers'!H:H, 'Annotated Papers'!A:A,A155)&gt;0,1,0))</f>
        <v>1</v>
      </c>
      <c r="G155" t="e">
        <f ca="1">IF(ISBLANK(A155), "", IF(SUMIFS('Annotated Papers'!I:I, 'Annotated Papers'!A:A,A155)&gt;0,1,0))</f>
        <v>#NAME?</v>
      </c>
      <c r="H155">
        <f ca="1">IF(ISBLANK(A155), "", IF(SUMIFS('Annotated Papers'!L:L, 'Annotated Papers'!A:A,A155)&gt;0,1,0))</f>
        <v>0</v>
      </c>
      <c r="I155" s="24">
        <f ca="1">IF(ISBLANK(A155), "", VLOOKUP(A155,'Annotated Papers'!154:1193,4,FALSE))</f>
        <v>0</v>
      </c>
    </row>
    <row r="156" spans="1:9" ht="14">
      <c r="A156" s="25" t="str">
        <f ca="1">IFERROR(__xludf.DUMMYFUNCTION("""COMPUTED_VALUE"""),"Learning Single-View 3D Reconstruction with Limited Pose Supervision")</f>
        <v>Learning Single-View 3D Reconstruction with Limited Pose Supervision</v>
      </c>
      <c r="B156" t="str">
        <f ca="1">IF(ISBLANK(A156), "", VLOOKUP(A156,'Annotated Papers'!155:1194,2,FALSE))</f>
        <v>CV</v>
      </c>
      <c r="C156" s="24">
        <f ca="1">IF(ISBLANK(A156), "", VLOOKUP(A156,'Annotated Papers'!155:1194,5,FALSE))</f>
        <v>1</v>
      </c>
      <c r="D156">
        <f ca="1">IF(ISBLANK(A156), "", IF(COUNTIF('Annotated Papers'!A:A,A156)&gt;1,1,0))</f>
        <v>0</v>
      </c>
      <c r="E156">
        <f ca="1">IF(ISBLANK(A156), "", IF(SUMIFS('Annotated Papers'!G:G, 'Annotated Papers'!A:A,A156)&gt;0,1,0))</f>
        <v>0</v>
      </c>
      <c r="F156">
        <f ca="1">IF(ISBLANK(A156), "", IF(SUMIFS('Annotated Papers'!H:H, 'Annotated Papers'!A:A,A156)&gt;0,1,0))</f>
        <v>1</v>
      </c>
      <c r="G156" t="e">
        <f ca="1">IF(ISBLANK(A156), "", IF(SUMIFS('Annotated Papers'!I:I, 'Annotated Papers'!A:A,A156)&gt;0,1,0))</f>
        <v>#NAME?</v>
      </c>
      <c r="H156">
        <f ca="1">IF(ISBLANK(A156), "", IF(SUMIFS('Annotated Papers'!L:L, 'Annotated Papers'!A:A,A156)&gt;0,1,0))</f>
        <v>0</v>
      </c>
      <c r="I156" s="24">
        <f ca="1">IF(ISBLANK(A156), "", VLOOKUP(A156,'Annotated Papers'!155:1194,4,FALSE))</f>
        <v>0</v>
      </c>
    </row>
    <row r="157" spans="1:9" ht="14">
      <c r="A157" s="25" t="str">
        <f ca="1">IFERROR(__xludf.DUMMYFUNCTION("""COMPUTED_VALUE"""),"Joint 3D Face Reconstruction and Dense Alignment with Position Map Regression Network")</f>
        <v>Joint 3D Face Reconstruction and Dense Alignment with Position Map Regression Network</v>
      </c>
      <c r="B157" t="str">
        <f ca="1">IF(ISBLANK(A157), "", VLOOKUP(A157,'Annotated Papers'!156:1195,2,FALSE))</f>
        <v>CV</v>
      </c>
      <c r="C157" s="24">
        <f ca="1">IF(ISBLANK(A157), "", VLOOKUP(A157,'Annotated Papers'!156:1195,5,FALSE))</f>
        <v>1</v>
      </c>
      <c r="D157">
        <f ca="1">IF(ISBLANK(A157), "", IF(COUNTIF('Annotated Papers'!A:A,A157)&gt;1,1,0))</f>
        <v>1</v>
      </c>
      <c r="E157">
        <f ca="1">IF(ISBLANK(A157), "", IF(SUMIFS('Annotated Papers'!G:G, 'Annotated Papers'!A:A,A157)&gt;0,1,0))</f>
        <v>0</v>
      </c>
      <c r="F157">
        <f ca="1">IF(ISBLANK(A157), "", IF(SUMIFS('Annotated Papers'!H:H, 'Annotated Papers'!A:A,A157)&gt;0,1,0))</f>
        <v>1</v>
      </c>
      <c r="G157" t="e">
        <f ca="1">IF(ISBLANK(A157), "", IF(SUMIFS('Annotated Papers'!I:I, 'Annotated Papers'!A:A,A157)&gt;0,1,0))</f>
        <v>#NAME?</v>
      </c>
      <c r="H157">
        <f ca="1">IF(ISBLANK(A157), "", IF(SUMIFS('Annotated Papers'!L:L, 'Annotated Papers'!A:A,A157)&gt;0,1,0))</f>
        <v>0</v>
      </c>
      <c r="I157" s="24">
        <f ca="1">IF(ISBLANK(A157), "", VLOOKUP(A157,'Annotated Papers'!156:1195,4,FALSE))</f>
        <v>0</v>
      </c>
    </row>
    <row r="158" spans="1:9" ht="14">
      <c r="A158" s="25" t="str">
        <f ca="1">IFERROR(__xludf.DUMMYFUNCTION("""COMPUTED_VALUE"""),"Joint Learning of Intrinsic Images and Semantic Segmentation")</f>
        <v>Joint Learning of Intrinsic Images and Semantic Segmentation</v>
      </c>
      <c r="B158" t="str">
        <f ca="1">IF(ISBLANK(A158), "", VLOOKUP(A158,'Annotated Papers'!157:1196,2,FALSE))</f>
        <v>CV</v>
      </c>
      <c r="C158" s="24">
        <f ca="1">IF(ISBLANK(A158), "", VLOOKUP(A158,'Annotated Papers'!157:1196,5,FALSE))</f>
        <v>1</v>
      </c>
      <c r="D158">
        <f ca="1">IF(ISBLANK(A158), "", IF(COUNTIF('Annotated Papers'!A:A,A158)&gt;1,1,0))</f>
        <v>0</v>
      </c>
      <c r="E158">
        <f ca="1">IF(ISBLANK(A158), "", IF(SUMIFS('Annotated Papers'!G:G, 'Annotated Papers'!A:A,A158)&gt;0,1,0))</f>
        <v>0</v>
      </c>
      <c r="F158">
        <f ca="1">IF(ISBLANK(A158), "", IF(SUMIFS('Annotated Papers'!H:H, 'Annotated Papers'!A:A,A158)&gt;0,1,0))</f>
        <v>1</v>
      </c>
      <c r="G158" t="e">
        <f ca="1">IF(ISBLANK(A158), "", IF(SUMIFS('Annotated Papers'!I:I, 'Annotated Papers'!A:A,A158)&gt;0,1,0))</f>
        <v>#NAME?</v>
      </c>
      <c r="H158">
        <f ca="1">IF(ISBLANK(A158), "", IF(SUMIFS('Annotated Papers'!L:L, 'Annotated Papers'!A:A,A158)&gt;0,1,0))</f>
        <v>1</v>
      </c>
      <c r="I158" s="24">
        <f ca="1">IF(ISBLANK(A158), "", VLOOKUP(A158,'Annotated Papers'!157:1196,4,FALSE))</f>
        <v>0</v>
      </c>
    </row>
    <row r="159" spans="1:9" ht="14">
      <c r="A159" s="25" t="str">
        <f ca="1">IFERROR(__xludf.DUMMYFUNCTION("""COMPUTED_VALUE"""),"PersonLab: Person Pose Estimation and Instance Segmentation with a Bottom-Up, Part-Based, Geometric Embedding Model")</f>
        <v>PersonLab: Person Pose Estimation and Instance Segmentation with a Bottom-Up, Part-Based, Geometric Embedding Model</v>
      </c>
      <c r="B159" t="str">
        <f ca="1">IF(ISBLANK(A159), "", VLOOKUP(A159,'Annotated Papers'!158:1197,2,FALSE))</f>
        <v>CV</v>
      </c>
      <c r="C159" s="24">
        <f ca="1">IF(ISBLANK(A159), "", VLOOKUP(A159,'Annotated Papers'!158:1197,5,FALSE))</f>
        <v>0</v>
      </c>
      <c r="D159">
        <f ca="1">IF(ISBLANK(A159), "", IF(COUNTIF('Annotated Papers'!A:A,A159)&gt;1,1,0))</f>
        <v>0</v>
      </c>
      <c r="E159">
        <f ca="1">IF(ISBLANK(A159), "", IF(SUMIFS('Annotated Papers'!G:G, 'Annotated Papers'!A:A,A159)&gt;0,1,0))</f>
        <v>0</v>
      </c>
      <c r="F159">
        <f ca="1">IF(ISBLANK(A159), "", IF(SUMIFS('Annotated Papers'!H:H, 'Annotated Papers'!A:A,A159)&gt;0,1,0))</f>
        <v>1</v>
      </c>
      <c r="G159" t="e">
        <f ca="1">IF(ISBLANK(A159), "", IF(SUMIFS('Annotated Papers'!I:I, 'Annotated Papers'!A:A,A159)&gt;0,1,0))</f>
        <v>#NAME?</v>
      </c>
      <c r="H159">
        <f ca="1">IF(ISBLANK(A159), "", IF(SUMIFS('Annotated Papers'!L:L, 'Annotated Papers'!A:A,A159)&gt;0,1,0))</f>
        <v>0</v>
      </c>
      <c r="I159" s="24">
        <f ca="1">IF(ISBLANK(A159), "", VLOOKUP(A159,'Annotated Papers'!158:1197,4,FALSE))</f>
        <v>0</v>
      </c>
    </row>
    <row r="160" spans="1:9" ht="14">
      <c r="A160" s="25" t="str">
        <f ca="1">IFERROR(__xludf.DUMMYFUNCTION("""COMPUTED_VALUE"""),"Group Normalization")</f>
        <v>Group Normalization</v>
      </c>
      <c r="B160" t="str">
        <f ca="1">IF(ISBLANK(A160), "", VLOOKUP(A160,'Annotated Papers'!159:1198,2,FALSE))</f>
        <v>CV</v>
      </c>
      <c r="C160" s="24">
        <f ca="1">IF(ISBLANK(A160), "", VLOOKUP(A160,'Annotated Papers'!159:1198,5,FALSE))</f>
        <v>1</v>
      </c>
      <c r="D160">
        <f ca="1">IF(ISBLANK(A160), "", IF(COUNTIF('Annotated Papers'!A:A,A160)&gt;1,1,0))</f>
        <v>1</v>
      </c>
      <c r="E160">
        <f ca="1">IF(ISBLANK(A160), "", IF(SUMIFS('Annotated Papers'!G:G, 'Annotated Papers'!A:A,A160)&gt;0,1,0))</f>
        <v>0</v>
      </c>
      <c r="F160">
        <f ca="1">IF(ISBLANK(A160), "", IF(SUMIFS('Annotated Papers'!H:H, 'Annotated Papers'!A:A,A160)&gt;0,1,0))</f>
        <v>1</v>
      </c>
      <c r="G160" t="e">
        <f ca="1">IF(ISBLANK(A160), "", IF(SUMIFS('Annotated Papers'!I:I, 'Annotated Papers'!A:A,A160)&gt;0,1,0))</f>
        <v>#NAME?</v>
      </c>
      <c r="H160">
        <f ca="1">IF(ISBLANK(A160), "", IF(SUMIFS('Annotated Papers'!L:L, 'Annotated Papers'!A:A,A160)&gt;0,1,0))</f>
        <v>0</v>
      </c>
      <c r="I160" s="24">
        <f ca="1">IF(ISBLANK(A160), "", VLOOKUP(A160,'Annotated Papers'!159:1198,4,FALSE))</f>
        <v>0</v>
      </c>
    </row>
    <row r="161" spans="1:9" ht="14">
      <c r="A161" s="25" t="str">
        <f ca="1">IFERROR(__xludf.DUMMYFUNCTION("""COMPUTED_VALUE"""),"WildDash - Creating Hazard-Aware Benchmarks")</f>
        <v>WildDash - Creating Hazard-Aware Benchmarks</v>
      </c>
      <c r="B161" t="str">
        <f ca="1">IF(ISBLANK(A161), "", VLOOKUP(A161,'Annotated Papers'!160:1199,2,FALSE))</f>
        <v>CV</v>
      </c>
      <c r="C161" s="24">
        <f ca="1">IF(ISBLANK(A161), "", VLOOKUP(A161,'Annotated Papers'!160:1199,5,FALSE))</f>
        <v>0</v>
      </c>
      <c r="D161">
        <f ca="1">IF(ISBLANK(A161), "", IF(COUNTIF('Annotated Papers'!A:A,A161)&gt;1,1,0))</f>
        <v>0</v>
      </c>
      <c r="E161">
        <f ca="1">IF(ISBLANK(A161), "", IF(SUMIFS('Annotated Papers'!G:G, 'Annotated Papers'!A:A,A161)&gt;0,1,0))</f>
        <v>0</v>
      </c>
      <c r="F161">
        <f ca="1">IF(ISBLANK(A161), "", IF(SUMIFS('Annotated Papers'!H:H, 'Annotated Papers'!A:A,A161)&gt;0,1,0))</f>
        <v>1</v>
      </c>
      <c r="G161" t="e">
        <f ca="1">IF(ISBLANK(A161), "", IF(SUMIFS('Annotated Papers'!I:I, 'Annotated Papers'!A:A,A161)&gt;0,1,0))</f>
        <v>#NAME?</v>
      </c>
      <c r="H161">
        <f ca="1">IF(ISBLANK(A161), "", IF(SUMIFS('Annotated Papers'!L:L, 'Annotated Papers'!A:A,A161)&gt;0,1,0))</f>
        <v>0</v>
      </c>
      <c r="I161" s="24">
        <f ca="1">IF(ISBLANK(A161), "", VLOOKUP(A161,'Annotated Papers'!160:1199,4,FALSE))</f>
        <v>0</v>
      </c>
    </row>
    <row r="162" spans="1:9" ht="14">
      <c r="A162" s="25" t="str">
        <f ca="1">IFERROR(__xludf.DUMMYFUNCTION("""COMPUTED_VALUE"""),"Learning Discriminative Video Representations Using Adversarial Perturbations")</f>
        <v>Learning Discriminative Video Representations Using Adversarial Perturbations</v>
      </c>
      <c r="B162" t="str">
        <f ca="1">IF(ISBLANK(A162), "", VLOOKUP(A162,'Annotated Papers'!161:1200,2,FALSE))</f>
        <v>CV</v>
      </c>
      <c r="C162" s="24">
        <f ca="1">IF(ISBLANK(A162), "", VLOOKUP(A162,'Annotated Papers'!161:1200,5,FALSE))</f>
        <v>0</v>
      </c>
      <c r="D162">
        <f ca="1">IF(ISBLANK(A162), "", IF(COUNTIF('Annotated Papers'!A:A,A162)&gt;1,1,0))</f>
        <v>1</v>
      </c>
      <c r="E162">
        <f ca="1">IF(ISBLANK(A162), "", IF(SUMIFS('Annotated Papers'!G:G, 'Annotated Papers'!A:A,A162)&gt;0,1,0))</f>
        <v>0</v>
      </c>
      <c r="F162">
        <f ca="1">IF(ISBLANK(A162), "", IF(SUMIFS('Annotated Papers'!H:H, 'Annotated Papers'!A:A,A162)&gt;0,1,0))</f>
        <v>1</v>
      </c>
      <c r="G162" t="e">
        <f ca="1">IF(ISBLANK(A162), "", IF(SUMIFS('Annotated Papers'!I:I, 'Annotated Papers'!A:A,A162)&gt;0,1,0))</f>
        <v>#NAME?</v>
      </c>
      <c r="H162">
        <f ca="1">IF(ISBLANK(A162), "", IF(SUMIFS('Annotated Papers'!L:L, 'Annotated Papers'!A:A,A162)&gt;0,1,0))</f>
        <v>0</v>
      </c>
      <c r="I162" s="24">
        <f ca="1">IF(ISBLANK(A162), "", VLOOKUP(A162,'Annotated Papers'!161:1200,4,FALSE))</f>
        <v>0</v>
      </c>
    </row>
    <row r="163" spans="1:9" ht="14">
      <c r="A163" s="25" t="str">
        <f ca="1">IFERROR(__xludf.DUMMYFUNCTION("""COMPUTED_VALUE"""),"Face Recognition with Contrastive Convolution")</f>
        <v>Face Recognition with Contrastive Convolution</v>
      </c>
      <c r="B163" t="str">
        <f ca="1">IF(ISBLANK(A163), "", VLOOKUP(A163,'Annotated Papers'!162:1201,2,FALSE))</f>
        <v>CV</v>
      </c>
      <c r="C163" s="24">
        <f ca="1">IF(ISBLANK(A163), "", VLOOKUP(A163,'Annotated Papers'!162:1201,5,FALSE))</f>
        <v>0</v>
      </c>
      <c r="D163">
        <f ca="1">IF(ISBLANK(A163), "", IF(COUNTIF('Annotated Papers'!A:A,A163)&gt;1,1,0))</f>
        <v>1</v>
      </c>
      <c r="E163">
        <f ca="1">IF(ISBLANK(A163), "", IF(SUMIFS('Annotated Papers'!G:G, 'Annotated Papers'!A:A,A163)&gt;0,1,0))</f>
        <v>0</v>
      </c>
      <c r="F163">
        <f ca="1">IF(ISBLANK(A163), "", IF(SUMIFS('Annotated Papers'!H:H, 'Annotated Papers'!A:A,A163)&gt;0,1,0))</f>
        <v>1</v>
      </c>
      <c r="G163" t="e">
        <f ca="1">IF(ISBLANK(A163), "", IF(SUMIFS('Annotated Papers'!I:I, 'Annotated Papers'!A:A,A163)&gt;0,1,0))</f>
        <v>#NAME?</v>
      </c>
      <c r="H163">
        <f ca="1">IF(ISBLANK(A163), "", IF(SUMIFS('Annotated Papers'!L:L, 'Annotated Papers'!A:A,A163)&gt;0,1,0))</f>
        <v>0</v>
      </c>
      <c r="I163" s="24">
        <f ca="1">IF(ISBLANK(A163), "", VLOOKUP(A163,'Annotated Papers'!162:1201,4,FALSE))</f>
        <v>0</v>
      </c>
    </row>
    <row r="164" spans="1:9" ht="14">
      <c r="A164" s="25" t="str">
        <f ca="1">IFERROR(__xludf.DUMMYFUNCTION("""COMPUTED_VALUE"""),"Quadtree Convolutional Neural Networks")</f>
        <v>Quadtree Convolutional Neural Networks</v>
      </c>
      <c r="B164" t="str">
        <f ca="1">IF(ISBLANK(A164), "", VLOOKUP(A164,'Annotated Papers'!163:1202,2,FALSE))</f>
        <v>CV</v>
      </c>
      <c r="C164" s="24">
        <f ca="1">IF(ISBLANK(A164), "", VLOOKUP(A164,'Annotated Papers'!163:1202,5,FALSE))</f>
        <v>0</v>
      </c>
      <c r="D164">
        <f ca="1">IF(ISBLANK(A164), "", IF(COUNTIF('Annotated Papers'!A:A,A164)&gt;1,1,0))</f>
        <v>1</v>
      </c>
      <c r="E164">
        <f ca="1">IF(ISBLANK(A164), "", IF(SUMIFS('Annotated Papers'!G:G, 'Annotated Papers'!A:A,A164)&gt;0,1,0))</f>
        <v>0</v>
      </c>
      <c r="F164">
        <f ca="1">IF(ISBLANK(A164), "", IF(SUMIFS('Annotated Papers'!H:H, 'Annotated Papers'!A:A,A164)&gt;0,1,0))</f>
        <v>1</v>
      </c>
      <c r="G164" t="e">
        <f ca="1">IF(ISBLANK(A164), "", IF(SUMIFS('Annotated Papers'!I:I, 'Annotated Papers'!A:A,A164)&gt;0,1,0))</f>
        <v>#NAME?</v>
      </c>
      <c r="H164">
        <f ca="1">IF(ISBLANK(A164), "", IF(SUMIFS('Annotated Papers'!L:L, 'Annotated Papers'!A:A,A164)&gt;0,1,0))</f>
        <v>0</v>
      </c>
      <c r="I164" s="24">
        <f ca="1">IF(ISBLANK(A164), "", VLOOKUP(A164,'Annotated Papers'!163:1202,4,FALSE))</f>
        <v>0</v>
      </c>
    </row>
    <row r="165" spans="1:9" ht="14">
      <c r="A165" s="25" t="str">
        <f ca="1">IFERROR(__xludf.DUMMYFUNCTION("""COMPUTED_VALUE"""),"Attend and Rectify: a gated attention mechanism for fine-grained recovery")</f>
        <v>Attend and Rectify: a gated attention mechanism for fine-grained recovery</v>
      </c>
      <c r="B165" t="str">
        <f ca="1">IF(ISBLANK(A165), "", VLOOKUP(A165,'Annotated Papers'!164:1203,2,FALSE))</f>
        <v>CV</v>
      </c>
      <c r="C165" s="24">
        <f ca="1">IF(ISBLANK(A165), "", VLOOKUP(A165,'Annotated Papers'!164:1203,5,FALSE))</f>
        <v>1</v>
      </c>
      <c r="D165">
        <f ca="1">IF(ISBLANK(A165), "", IF(COUNTIF('Annotated Papers'!A:A,A165)&gt;1,1,0))</f>
        <v>1</v>
      </c>
      <c r="E165">
        <f ca="1">IF(ISBLANK(A165), "", IF(SUMIFS('Annotated Papers'!G:G, 'Annotated Papers'!A:A,A165)&gt;0,1,0))</f>
        <v>0</v>
      </c>
      <c r="F165">
        <f ca="1">IF(ISBLANK(A165), "", IF(SUMIFS('Annotated Papers'!H:H, 'Annotated Papers'!A:A,A165)&gt;0,1,0))</f>
        <v>1</v>
      </c>
      <c r="G165" t="e">
        <f ca="1">IF(ISBLANK(A165), "", IF(SUMIFS('Annotated Papers'!I:I, 'Annotated Papers'!A:A,A165)&gt;0,1,0))</f>
        <v>#NAME?</v>
      </c>
      <c r="H165">
        <f ca="1">IF(ISBLANK(A165), "", IF(SUMIFS('Annotated Papers'!L:L, 'Annotated Papers'!A:A,A165)&gt;0,1,0))</f>
        <v>0</v>
      </c>
      <c r="I165" s="24">
        <f ca="1">IF(ISBLANK(A165), "", VLOOKUP(A165,'Annotated Papers'!164:1203,4,FALSE))</f>
        <v>0</v>
      </c>
    </row>
    <row r="166" spans="1:9" ht="14">
      <c r="A166" s="25" t="str">
        <f ca="1">IFERROR(__xludf.DUMMYFUNCTION("""COMPUTED_VALUE"""),"Depth Estimation Using Structured Light Flow -- Analysis of Projected Pattern Flow on an Object's Surface")</f>
        <v>Depth Estimation Using Structured Light Flow -- Analysis of Projected Pattern Flow on an Object's Surface</v>
      </c>
      <c r="B166" t="str">
        <f ca="1">IF(ISBLANK(A166), "", VLOOKUP(A166,'Annotated Papers'!165:1204,2,FALSE))</f>
        <v>CV</v>
      </c>
      <c r="C166" s="24">
        <f ca="1">IF(ISBLANK(A166), "", VLOOKUP(A166,'Annotated Papers'!165:1204,5,FALSE))</f>
        <v>0</v>
      </c>
      <c r="D166">
        <f ca="1">IF(ISBLANK(A166), "", IF(COUNTIF('Annotated Papers'!A:A,A166)&gt;1,1,0))</f>
        <v>1</v>
      </c>
      <c r="E166">
        <f ca="1">IF(ISBLANK(A166), "", IF(SUMIFS('Annotated Papers'!G:G, 'Annotated Papers'!A:A,A166)&gt;0,1,0))</f>
        <v>0</v>
      </c>
      <c r="F166">
        <f ca="1">IF(ISBLANK(A166), "", IF(SUMIFS('Annotated Papers'!H:H, 'Annotated Papers'!A:A,A166)&gt;0,1,0))</f>
        <v>0</v>
      </c>
      <c r="G166" t="e">
        <f ca="1">IF(ISBLANK(A166), "", IF(SUMIFS('Annotated Papers'!I:I, 'Annotated Papers'!A:A,A166)&gt;0,1,0))</f>
        <v>#NAME?</v>
      </c>
      <c r="H166">
        <f ca="1">IF(ISBLANK(A166), "", IF(SUMIFS('Annotated Papers'!L:L, 'Annotated Papers'!A:A,A166)&gt;0,1,0))</f>
        <v>0</v>
      </c>
      <c r="I166" s="24">
        <f ca="1">IF(ISBLANK(A166), "", VLOOKUP(A166,'Annotated Papers'!165:1204,4,FALSE))</f>
        <v>0</v>
      </c>
    </row>
    <row r="167" spans="1:9" ht="14">
      <c r="A167" s="25" t="str">
        <f ca="1">IFERROR(__xludf.DUMMYFUNCTION("""COMPUTED_VALUE"""),"Predicting Deeper Into the Future of Semantic Segmentation")</f>
        <v>Predicting Deeper Into the Future of Semantic Segmentation</v>
      </c>
      <c r="B167" t="str">
        <f ca="1">IF(ISBLANK(A167), "", VLOOKUP(A167,'Annotated Papers'!166:1205,2,FALSE))</f>
        <v>CV</v>
      </c>
      <c r="C167" s="24">
        <f ca="1">IF(ISBLANK(A167), "", VLOOKUP(A167,'Annotated Papers'!166:1205,5,FALSE))</f>
        <v>0</v>
      </c>
      <c r="D167">
        <f ca="1">IF(ISBLANK(A167), "", IF(COUNTIF('Annotated Papers'!A:A,A167)&gt;1,1,0))</f>
        <v>1</v>
      </c>
      <c r="E167">
        <f ca="1">IF(ISBLANK(A167), "", IF(SUMIFS('Annotated Papers'!G:G, 'Annotated Papers'!A:A,A167)&gt;0,1,0))</f>
        <v>0</v>
      </c>
      <c r="F167">
        <f ca="1">IF(ISBLANK(A167), "", IF(SUMIFS('Annotated Papers'!H:H, 'Annotated Papers'!A:A,A167)&gt;0,1,0))</f>
        <v>1</v>
      </c>
      <c r="G167" t="e">
        <f ca="1">IF(ISBLANK(A167), "", IF(SUMIFS('Annotated Papers'!I:I, 'Annotated Papers'!A:A,A167)&gt;0,1,0))</f>
        <v>#NAME?</v>
      </c>
      <c r="H167">
        <f ca="1">IF(ISBLANK(A167), "", IF(SUMIFS('Annotated Papers'!L:L, 'Annotated Papers'!A:A,A167)&gt;0,1,0))</f>
        <v>0</v>
      </c>
      <c r="I167" s="24">
        <f ca="1">IF(ISBLANK(A167), "", VLOOKUP(A167,'Annotated Papers'!166:1205,4,FALSE))</f>
        <v>0</v>
      </c>
    </row>
    <row r="168" spans="1:9" ht="14">
      <c r="A168" s="25" t="str">
        <f ca="1">IFERROR(__xludf.DUMMYFUNCTION("""COMPUTED_VALUE"""),"Bounding Boxes, Segmentations and Object Coordinates: How Important Is Recognition for 3D Scene Flow Estimation in Autonomous Driving Scenarios?")</f>
        <v>Bounding Boxes, Segmentations and Object Coordinates: How Important Is Recognition for 3D Scene Flow Estimation in Autonomous Driving Scenarios?</v>
      </c>
      <c r="B168" t="str">
        <f ca="1">IF(ISBLANK(A168), "", VLOOKUP(A168,'Annotated Papers'!167:1206,2,FALSE))</f>
        <v>CV</v>
      </c>
      <c r="C168" s="24">
        <f ca="1">IF(ISBLANK(A168), "", VLOOKUP(A168,'Annotated Papers'!167:1206,5,FALSE))</f>
        <v>1</v>
      </c>
      <c r="D168">
        <f ca="1">IF(ISBLANK(A168), "", IF(COUNTIF('Annotated Papers'!A:A,A168)&gt;1,1,0))</f>
        <v>1</v>
      </c>
      <c r="E168">
        <f ca="1">IF(ISBLANK(A168), "", IF(SUMIFS('Annotated Papers'!G:G, 'Annotated Papers'!A:A,A168)&gt;0,1,0))</f>
        <v>0</v>
      </c>
      <c r="F168">
        <f ca="1">IF(ISBLANK(A168), "", IF(SUMIFS('Annotated Papers'!H:H, 'Annotated Papers'!A:A,A168)&gt;0,1,0))</f>
        <v>1</v>
      </c>
      <c r="G168" t="e">
        <f ca="1">IF(ISBLANK(A168), "", IF(SUMIFS('Annotated Papers'!I:I, 'Annotated Papers'!A:A,A168)&gt;0,1,0))</f>
        <v>#NAME?</v>
      </c>
      <c r="H168">
        <f ca="1">IF(ISBLANK(A168), "", IF(SUMIFS('Annotated Papers'!L:L, 'Annotated Papers'!A:A,A168)&gt;0,1,0))</f>
        <v>0</v>
      </c>
      <c r="I168" s="24">
        <f ca="1">IF(ISBLANK(A168), "", VLOOKUP(A168,'Annotated Papers'!167:1206,4,FALSE))</f>
        <v>0</v>
      </c>
    </row>
    <row r="169" spans="1:9" ht="14">
      <c r="A169" s="25" t="str">
        <f ca="1">IFERROR(__xludf.DUMMYFUNCTION("""COMPUTED_VALUE"""),"Video Frame Synthesis Using Deep Voxel Flow")</f>
        <v>Video Frame Synthesis Using Deep Voxel Flow</v>
      </c>
      <c r="B169" t="str">
        <f ca="1">IF(ISBLANK(A169), "", VLOOKUP(A169,'Annotated Papers'!168:1207,2,FALSE))</f>
        <v>CV</v>
      </c>
      <c r="C169" s="24">
        <f ca="1">IF(ISBLANK(A169), "", VLOOKUP(A169,'Annotated Papers'!168:1207,5,FALSE))</f>
        <v>1</v>
      </c>
      <c r="D169">
        <f ca="1">IF(ISBLANK(A169), "", IF(COUNTIF('Annotated Papers'!A:A,A169)&gt;1,1,0))</f>
        <v>1</v>
      </c>
      <c r="E169">
        <f ca="1">IF(ISBLANK(A169), "", IF(SUMIFS('Annotated Papers'!G:G, 'Annotated Papers'!A:A,A169)&gt;0,1,0))</f>
        <v>0</v>
      </c>
      <c r="F169">
        <f ca="1">IF(ISBLANK(A169), "", IF(SUMIFS('Annotated Papers'!H:H, 'Annotated Papers'!A:A,A169)&gt;0,1,0))</f>
        <v>1</v>
      </c>
      <c r="G169" t="e">
        <f ca="1">IF(ISBLANK(A169), "", IF(SUMIFS('Annotated Papers'!I:I, 'Annotated Papers'!A:A,A169)&gt;0,1,0))</f>
        <v>#NAME?</v>
      </c>
      <c r="H169">
        <f ca="1">IF(ISBLANK(A169), "", IF(SUMIFS('Annotated Papers'!L:L, 'Annotated Papers'!A:A,A169)&gt;0,1,0))</f>
        <v>0</v>
      </c>
      <c r="I169" s="24">
        <f ca="1">IF(ISBLANK(A169), "", VLOOKUP(A169,'Annotated Papers'!168:1207,4,FALSE))</f>
        <v>0</v>
      </c>
    </row>
    <row r="170" spans="1:9" ht="14">
      <c r="A170" s="25" t="str">
        <f ca="1">IFERROR(__xludf.DUMMYFUNCTION("""COMPUTED_VALUE"""),"Learning Discriminative ab-Divergences for Positive Definite Matrices")</f>
        <v>Learning Discriminative ab-Divergences for Positive Definite Matrices</v>
      </c>
      <c r="B170" t="str">
        <f ca="1">IF(ISBLANK(A170), "", VLOOKUP(A170,'Annotated Papers'!169:1208,2,FALSE))</f>
        <v>CV</v>
      </c>
      <c r="C170" s="24">
        <f ca="1">IF(ISBLANK(A170), "", VLOOKUP(A170,'Annotated Papers'!169:1208,5,FALSE))</f>
        <v>0</v>
      </c>
      <c r="D170">
        <f ca="1">IF(ISBLANK(A170), "", IF(COUNTIF('Annotated Papers'!A:A,A170)&gt;1,1,0))</f>
        <v>1</v>
      </c>
      <c r="E170">
        <f ca="1">IF(ISBLANK(A170), "", IF(SUMIFS('Annotated Papers'!G:G, 'Annotated Papers'!A:A,A170)&gt;0,1,0))</f>
        <v>0</v>
      </c>
      <c r="F170">
        <f ca="1">IF(ISBLANK(A170), "", IF(SUMIFS('Annotated Papers'!H:H, 'Annotated Papers'!A:A,A170)&gt;0,1,0))</f>
        <v>1</v>
      </c>
      <c r="G170" t="e">
        <f ca="1">IF(ISBLANK(A170), "", IF(SUMIFS('Annotated Papers'!I:I, 'Annotated Papers'!A:A,A170)&gt;0,1,0))</f>
        <v>#NAME?</v>
      </c>
      <c r="H170">
        <f ca="1">IF(ISBLANK(A170), "", IF(SUMIFS('Annotated Papers'!L:L, 'Annotated Papers'!A:A,A170)&gt;0,1,0))</f>
        <v>0</v>
      </c>
      <c r="I170" s="24">
        <f ca="1">IF(ISBLANK(A170), "", VLOOKUP(A170,'Annotated Papers'!169:1208,4,FALSE))</f>
        <v>0</v>
      </c>
    </row>
    <row r="171" spans="1:9" ht="14">
      <c r="A171" s="25" t="str">
        <f ca="1">IFERROR(__xludf.DUMMYFUNCTION("""COMPUTED_VALUE"""),"Octree Generating Networks: Efficient Convolutional Architectures for High-Resolution 3D Outputs")</f>
        <v>Octree Generating Networks: Efficient Convolutional Architectures for High-Resolution 3D Outputs</v>
      </c>
      <c r="B171" t="str">
        <f ca="1">IF(ISBLANK(A171), "", VLOOKUP(A171,'Annotated Papers'!170:1209,2,FALSE))</f>
        <v>CV</v>
      </c>
      <c r="C171" s="24">
        <f ca="1">IF(ISBLANK(A171), "", VLOOKUP(A171,'Annotated Papers'!170:1209,5,FALSE))</f>
        <v>1</v>
      </c>
      <c r="D171">
        <f ca="1">IF(ISBLANK(A171), "", IF(COUNTIF('Annotated Papers'!A:A,A171)&gt;1,1,0))</f>
        <v>1</v>
      </c>
      <c r="E171">
        <f ca="1">IF(ISBLANK(A171), "", IF(SUMIFS('Annotated Papers'!G:G, 'Annotated Papers'!A:A,A171)&gt;0,1,0))</f>
        <v>0</v>
      </c>
      <c r="F171">
        <f ca="1">IF(ISBLANK(A171), "", IF(SUMIFS('Annotated Papers'!H:H, 'Annotated Papers'!A:A,A171)&gt;0,1,0))</f>
        <v>1</v>
      </c>
      <c r="G171" t="e">
        <f ca="1">IF(ISBLANK(A171), "", IF(SUMIFS('Annotated Papers'!I:I, 'Annotated Papers'!A:A,A171)&gt;0,1,0))</f>
        <v>#NAME?</v>
      </c>
      <c r="H171">
        <f ca="1">IF(ISBLANK(A171), "", IF(SUMIFS('Annotated Papers'!L:L, 'Annotated Papers'!A:A,A171)&gt;0,1,0))</f>
        <v>0</v>
      </c>
      <c r="I171" s="24">
        <f ca="1">IF(ISBLANK(A171), "", VLOOKUP(A171,'Annotated Papers'!170:1209,4,FALSE))</f>
        <v>0</v>
      </c>
    </row>
    <row r="172" spans="1:9" ht="14">
      <c r="A172" s="25" t="str">
        <f ca="1">IFERROR(__xludf.DUMMYFUNCTION("""COMPUTED_VALUE"""),"Unpaired Image-To-Image Translation Using Cycle-Consistent Adversarial Networks")</f>
        <v>Unpaired Image-To-Image Translation Using Cycle-Consistent Adversarial Networks</v>
      </c>
      <c r="B172" t="str">
        <f ca="1">IF(ISBLANK(A172), "", VLOOKUP(A172,'Annotated Papers'!171:1210,2,FALSE))</f>
        <v>CV</v>
      </c>
      <c r="C172" s="24">
        <f ca="1">IF(ISBLANK(A172), "", VLOOKUP(A172,'Annotated Papers'!171:1210,5,FALSE))</f>
        <v>1</v>
      </c>
      <c r="D172">
        <f ca="1">IF(ISBLANK(A172), "", IF(COUNTIF('Annotated Papers'!A:A,A172)&gt;1,1,0))</f>
        <v>1</v>
      </c>
      <c r="E172">
        <f ca="1">IF(ISBLANK(A172), "", IF(SUMIFS('Annotated Papers'!G:G, 'Annotated Papers'!A:A,A172)&gt;0,1,0))</f>
        <v>0</v>
      </c>
      <c r="F172">
        <f ca="1">IF(ISBLANK(A172), "", IF(SUMIFS('Annotated Papers'!H:H, 'Annotated Papers'!A:A,A172)&gt;0,1,0))</f>
        <v>1</v>
      </c>
      <c r="G172" t="e">
        <f ca="1">IF(ISBLANK(A172), "", IF(SUMIFS('Annotated Papers'!I:I, 'Annotated Papers'!A:A,A172)&gt;0,1,0))</f>
        <v>#NAME?</v>
      </c>
      <c r="H172">
        <f ca="1">IF(ISBLANK(A172), "", IF(SUMIFS('Annotated Papers'!L:L, 'Annotated Papers'!A:A,A172)&gt;0,1,0))</f>
        <v>1</v>
      </c>
      <c r="I172" s="24">
        <f ca="1">IF(ISBLANK(A172), "", VLOOKUP(A172,'Annotated Papers'!171:1210,4,FALSE))</f>
        <v>0</v>
      </c>
    </row>
    <row r="173" spans="1:9" ht="14">
      <c r="A173" s="25" t="str">
        <f ca="1">IFERROR(__xludf.DUMMYFUNCTION("""COMPUTED_VALUE"""),"Representation Learning by Learning to Count")</f>
        <v>Representation Learning by Learning to Count</v>
      </c>
      <c r="B173" t="str">
        <f ca="1">IF(ISBLANK(A173), "", VLOOKUP(A173,'Annotated Papers'!172:1211,2,FALSE))</f>
        <v>CV</v>
      </c>
      <c r="C173" s="24">
        <f ca="1">IF(ISBLANK(A173), "", VLOOKUP(A173,'Annotated Papers'!172:1211,5,FALSE))</f>
        <v>0</v>
      </c>
      <c r="D173">
        <f ca="1">IF(ISBLANK(A173), "", IF(COUNTIF('Annotated Papers'!A:A,A173)&gt;1,1,0))</f>
        <v>1</v>
      </c>
      <c r="E173">
        <f ca="1">IF(ISBLANK(A173), "", IF(SUMIFS('Annotated Papers'!G:G, 'Annotated Papers'!A:A,A173)&gt;0,1,0))</f>
        <v>0</v>
      </c>
      <c r="F173">
        <f ca="1">IF(ISBLANK(A173), "", IF(SUMIFS('Annotated Papers'!H:H, 'Annotated Papers'!A:A,A173)&gt;0,1,0))</f>
        <v>1</v>
      </c>
      <c r="G173" t="e">
        <f ca="1">IF(ISBLANK(A173), "", IF(SUMIFS('Annotated Papers'!I:I, 'Annotated Papers'!A:A,A173)&gt;0,1,0))</f>
        <v>#NAME?</v>
      </c>
      <c r="H173">
        <f ca="1">IF(ISBLANK(A173), "", IF(SUMIFS('Annotated Papers'!L:L, 'Annotated Papers'!A:A,A173)&gt;0,1,0))</f>
        <v>0</v>
      </c>
      <c r="I173" s="24">
        <f ca="1">IF(ISBLANK(A173), "", VLOOKUP(A173,'Annotated Papers'!172:1211,4,FALSE))</f>
        <v>0</v>
      </c>
    </row>
    <row r="174" spans="1:9" ht="14">
      <c r="A174" s="25" t="str">
        <f ca="1">IFERROR(__xludf.DUMMYFUNCTION("""COMPUTED_VALUE"""),"Benchmarking Single-Image Reflection Removal Algorithms")</f>
        <v>Benchmarking Single-Image Reflection Removal Algorithms</v>
      </c>
      <c r="B174" t="str">
        <f ca="1">IF(ISBLANK(A174), "", VLOOKUP(A174,'Annotated Papers'!173:1212,2,FALSE))</f>
        <v>CV</v>
      </c>
      <c r="C174" s="24">
        <f ca="1">IF(ISBLANK(A174), "", VLOOKUP(A174,'Annotated Papers'!173:1212,5,FALSE))</f>
        <v>1</v>
      </c>
      <c r="D174">
        <f ca="1">IF(ISBLANK(A174), "", IF(COUNTIF('Annotated Papers'!A:A,A174)&gt;1,1,0))</f>
        <v>0</v>
      </c>
      <c r="E174">
        <f ca="1">IF(ISBLANK(A174), "", IF(SUMIFS('Annotated Papers'!G:G, 'Annotated Papers'!A:A,A174)&gt;0,1,0))</f>
        <v>0</v>
      </c>
      <c r="F174">
        <f ca="1">IF(ISBLANK(A174), "", IF(SUMIFS('Annotated Papers'!H:H, 'Annotated Papers'!A:A,A174)&gt;0,1,0))</f>
        <v>1</v>
      </c>
      <c r="G174" t="e">
        <f ca="1">IF(ISBLANK(A174), "", IF(SUMIFS('Annotated Papers'!I:I, 'Annotated Papers'!A:A,A174)&gt;0,1,0))</f>
        <v>#NAME?</v>
      </c>
      <c r="H174">
        <f ca="1">IF(ISBLANK(A174), "", IF(SUMIFS('Annotated Papers'!L:L, 'Annotated Papers'!A:A,A174)&gt;0,1,0))</f>
        <v>0</v>
      </c>
      <c r="I174" s="24">
        <f ca="1">IF(ISBLANK(A174), "", VLOOKUP(A174,'Annotated Papers'!173:1212,4,FALSE))</f>
        <v>0</v>
      </c>
    </row>
    <row r="175" spans="1:9" ht="14">
      <c r="A175" s="25" t="str">
        <f ca="1">IFERROR(__xludf.DUMMYFUNCTION("""COMPUTED_VALUE"""),"Dense Non-Rigid Structure-From-Motion and Shading With Unknown Albedos")</f>
        <v>Dense Non-Rigid Structure-From-Motion and Shading With Unknown Albedos</v>
      </c>
      <c r="B175" t="str">
        <f ca="1">IF(ISBLANK(A175), "", VLOOKUP(A175,'Annotated Papers'!174:1213,2,FALSE))</f>
        <v>CV</v>
      </c>
      <c r="C175" s="24">
        <f ca="1">IF(ISBLANK(A175), "", VLOOKUP(A175,'Annotated Papers'!174:1213,5,FALSE))</f>
        <v>0</v>
      </c>
      <c r="D175">
        <f ca="1">IF(ISBLANK(A175), "", IF(COUNTIF('Annotated Papers'!A:A,A175)&gt;1,1,0))</f>
        <v>1</v>
      </c>
      <c r="E175">
        <f ca="1">IF(ISBLANK(A175), "", IF(SUMIFS('Annotated Papers'!G:G, 'Annotated Papers'!A:A,A175)&gt;0,1,0))</f>
        <v>0</v>
      </c>
      <c r="F175">
        <f ca="1">IF(ISBLANK(A175), "", IF(SUMIFS('Annotated Papers'!H:H, 'Annotated Papers'!A:A,A175)&gt;0,1,0))</f>
        <v>1</v>
      </c>
      <c r="G175" t="e">
        <f ca="1">IF(ISBLANK(A175), "", IF(SUMIFS('Annotated Papers'!I:I, 'Annotated Papers'!A:A,A175)&gt;0,1,0))</f>
        <v>#NAME?</v>
      </c>
      <c r="H175">
        <f ca="1">IF(ISBLANK(A175), "", IF(SUMIFS('Annotated Papers'!L:L, 'Annotated Papers'!A:A,A175)&gt;0,1,0))</f>
        <v>1</v>
      </c>
      <c r="I175" s="24">
        <f ca="1">IF(ISBLANK(A175), "", VLOOKUP(A175,'Annotated Papers'!174:1213,4,FALSE))</f>
        <v>0</v>
      </c>
    </row>
    <row r="176" spans="1:9" ht="14">
      <c r="A176" s="26" t="str">
        <f ca="1">IFERROR(__xludf.DUMMYFUNCTION("""COMPUTED_VALUE"""),"Automatic Documentation of ICD Codes with Far-Field Speech Recognition")</f>
        <v>Automatic Documentation of ICD Codes with Far-Field Speech Recognition</v>
      </c>
      <c r="B176" t="str">
        <f ca="1">IF(ISBLANK(A176), "", VLOOKUP(A176,'Annotated Papers'!175:1214,2,FALSE))</f>
        <v>ML4H</v>
      </c>
      <c r="C176" s="24">
        <f ca="1">IF(ISBLANK(A176), "", VLOOKUP(A176,'Annotated Papers'!175:1214,5,FALSE))</f>
        <v>0</v>
      </c>
      <c r="D176">
        <f ca="1">IF(ISBLANK(A176), "", IF(COUNTIF('Annotated Papers'!A:A,A176)&gt;1,1,0))</f>
        <v>0</v>
      </c>
      <c r="E176">
        <f ca="1">IF(ISBLANK(A176), "", IF(SUMIFS('Annotated Papers'!G:G, 'Annotated Papers'!A:A,A176)&gt;0,1,0))</f>
        <v>0</v>
      </c>
      <c r="F176">
        <f ca="1">IF(ISBLANK(A176), "", IF(SUMIFS('Annotated Papers'!H:H, 'Annotated Papers'!A:A,A176)&gt;0,1,0))</f>
        <v>0</v>
      </c>
      <c r="G176" t="e">
        <f ca="1">IF(ISBLANK(A176), "", IF(SUMIFS('Annotated Papers'!I:I, 'Annotated Papers'!A:A,A176)&gt;0,1,0))</f>
        <v>#NAME?</v>
      </c>
      <c r="H176">
        <f ca="1">IF(ISBLANK(A176), "", IF(SUMIFS('Annotated Papers'!L:L, 'Annotated Papers'!A:A,A176)&gt;0,1,0))</f>
        <v>1</v>
      </c>
      <c r="I176" s="24">
        <f ca="1">IF(ISBLANK(A176), "", VLOOKUP(A176,'Annotated Papers'!175:1214,4,FALSE))</f>
        <v>0</v>
      </c>
    </row>
    <row r="177" spans="1:9" ht="14">
      <c r="A177" s="26" t="str">
        <f ca="1">IFERROR(__xludf.DUMMYFUNCTION("""COMPUTED_VALUE"""),"Distinguishing correlation from causation using genome-wide association studies")</f>
        <v>Distinguishing correlation from causation using genome-wide association studies</v>
      </c>
      <c r="B177" t="str">
        <f ca="1">IF(ISBLANK(A177), "", VLOOKUP(A177,'Annotated Papers'!176:1215,2,FALSE))</f>
        <v>ML4H</v>
      </c>
      <c r="C177" s="24">
        <f ca="1">IF(ISBLANK(A177), "", VLOOKUP(A177,'Annotated Papers'!176:1215,5,FALSE))</f>
        <v>0</v>
      </c>
      <c r="D177">
        <f ca="1">IF(ISBLANK(A177), "", IF(COUNTIF('Annotated Papers'!A:A,A177)&gt;1,1,0))</f>
        <v>0</v>
      </c>
      <c r="E177">
        <f ca="1">IF(ISBLANK(A177), "", IF(SUMIFS('Annotated Papers'!G:G, 'Annotated Papers'!A:A,A177)&gt;0,1,0))</f>
        <v>0</v>
      </c>
      <c r="F177">
        <f ca="1">IF(ISBLANK(A177), "", IF(SUMIFS('Annotated Papers'!H:H, 'Annotated Papers'!A:A,A177)&gt;0,1,0))</f>
        <v>1</v>
      </c>
      <c r="G177" t="e">
        <f ca="1">IF(ISBLANK(A177), "", IF(SUMIFS('Annotated Papers'!I:I, 'Annotated Papers'!A:A,A177)&gt;0,1,0))</f>
        <v>#NAME?</v>
      </c>
      <c r="H177">
        <f ca="1">IF(ISBLANK(A177), "", IF(SUMIFS('Annotated Papers'!L:L, 'Annotated Papers'!A:A,A177)&gt;0,1,0))</f>
        <v>1</v>
      </c>
      <c r="I177" s="24">
        <f ca="1">IF(ISBLANK(A177), "", VLOOKUP(A177,'Annotated Papers'!176:1215,4,FALSE))</f>
        <v>0</v>
      </c>
    </row>
    <row r="178" spans="1:9" ht="14">
      <c r="A178" s="25" t="str">
        <f ca="1">IFERROR(__xludf.DUMMYFUNCTION("""COMPUTED_VALUE"""),"Prototypical Clustering Networks for Dermatological Disease Diagnosis")</f>
        <v>Prototypical Clustering Networks for Dermatological Disease Diagnosis</v>
      </c>
      <c r="B178" t="str">
        <f ca="1">IF(ISBLANK(A178), "", VLOOKUP(A178,'Annotated Papers'!177:1216,2,FALSE))</f>
        <v>ML4H</v>
      </c>
      <c r="C178" s="24">
        <f ca="1">IF(ISBLANK(A178), "", VLOOKUP(A178,'Annotated Papers'!177:1216,5,FALSE))</f>
        <v>0</v>
      </c>
      <c r="D178">
        <f ca="1">IF(ISBLANK(A178), "", IF(COUNTIF('Annotated Papers'!A:A,A178)&gt;1,1,0))</f>
        <v>0</v>
      </c>
      <c r="E178">
        <f ca="1">IF(ISBLANK(A178), "", IF(SUMIFS('Annotated Papers'!G:G, 'Annotated Papers'!A:A,A178)&gt;0,1,0))</f>
        <v>0</v>
      </c>
      <c r="F178">
        <f ca="1">IF(ISBLANK(A178), "", IF(SUMIFS('Annotated Papers'!H:H, 'Annotated Papers'!A:A,A178)&gt;0,1,0))</f>
        <v>1</v>
      </c>
      <c r="G178" t="e">
        <f ca="1">IF(ISBLANK(A178), "", IF(SUMIFS('Annotated Papers'!I:I, 'Annotated Papers'!A:A,A178)&gt;0,1,0))</f>
        <v>#NAME?</v>
      </c>
      <c r="H178">
        <f ca="1">IF(ISBLANK(A178), "", IF(SUMIFS('Annotated Papers'!L:L, 'Annotated Papers'!A:A,A178)&gt;0,1,0))</f>
        <v>1</v>
      </c>
      <c r="I178" s="24">
        <f ca="1">IF(ISBLANK(A178), "", VLOOKUP(A178,'Annotated Papers'!177:1216,4,FALSE))</f>
        <v>0</v>
      </c>
    </row>
    <row r="179" spans="1:9" ht="14">
      <c r="A179" s="26" t="str">
        <f ca="1">IFERROR(__xludf.DUMMYFUNCTION("""COMPUTED_VALUE"""),"Disease Detection in Weakly Annotated Volumetric Medical Images using a Convolutional LSTM Network")</f>
        <v>Disease Detection in Weakly Annotated Volumetric Medical Images using a Convolutional LSTM Network</v>
      </c>
      <c r="B179" t="str">
        <f ca="1">IF(ISBLANK(A179), "", VLOOKUP(A179,'Annotated Papers'!178:1217,2,FALSE))</f>
        <v>ML4H</v>
      </c>
      <c r="C179" s="24">
        <f ca="1">IF(ISBLANK(A179), "", VLOOKUP(A179,'Annotated Papers'!178:1217,5,FALSE))</f>
        <v>0</v>
      </c>
      <c r="D179">
        <f ca="1">IF(ISBLANK(A179), "", IF(COUNTIF('Annotated Papers'!A:A,A179)&gt;1,1,0))</f>
        <v>0</v>
      </c>
      <c r="E179">
        <f ca="1">IF(ISBLANK(A179), "", IF(SUMIFS('Annotated Papers'!G:G, 'Annotated Papers'!A:A,A179)&gt;0,1,0))</f>
        <v>0</v>
      </c>
      <c r="F179">
        <f ca="1">IF(ISBLANK(A179), "", IF(SUMIFS('Annotated Papers'!H:H, 'Annotated Papers'!A:A,A179)&gt;0,1,0))</f>
        <v>1</v>
      </c>
      <c r="G179" t="e">
        <f ca="1">IF(ISBLANK(A179), "", IF(SUMIFS('Annotated Papers'!I:I, 'Annotated Papers'!A:A,A179)&gt;0,1,0))</f>
        <v>#NAME?</v>
      </c>
      <c r="H179">
        <f ca="1">IF(ISBLANK(A179), "", IF(SUMIFS('Annotated Papers'!L:L, 'Annotated Papers'!A:A,A179)&gt;0,1,0))</f>
        <v>0</v>
      </c>
      <c r="I179" s="24">
        <f ca="1">IF(ISBLANK(A179), "", VLOOKUP(A179,'Annotated Papers'!178:1217,4,FALSE))</f>
        <v>0</v>
      </c>
    </row>
    <row r="180" spans="1:9" ht="14">
      <c r="A180" s="26" t="str">
        <f ca="1">IFERROR(__xludf.DUMMYFUNCTION("""COMPUTED_VALUE"""),"Cluster-Based Learning from Weakly Labeled Bags in Digital Pathology")</f>
        <v>Cluster-Based Learning from Weakly Labeled Bags in Digital Pathology</v>
      </c>
      <c r="B180" t="str">
        <f ca="1">IF(ISBLANK(A180), "", VLOOKUP(A180,'Annotated Papers'!179:1218,2,FALSE))</f>
        <v>ML4H</v>
      </c>
      <c r="C180" s="24">
        <f ca="1">IF(ISBLANK(A180), "", VLOOKUP(A180,'Annotated Papers'!179:1218,5,FALSE))</f>
        <v>0</v>
      </c>
      <c r="D180">
        <f ca="1">IF(ISBLANK(A180), "", IF(COUNTIF('Annotated Papers'!A:A,A180)&gt;1,1,0))</f>
        <v>1</v>
      </c>
      <c r="E180">
        <f ca="1">IF(ISBLANK(A180), "", IF(SUMIFS('Annotated Papers'!G:G, 'Annotated Papers'!A:A,A180)&gt;0,1,0))</f>
        <v>0</v>
      </c>
      <c r="F180">
        <f ca="1">IF(ISBLANK(A180), "", IF(SUMIFS('Annotated Papers'!H:H, 'Annotated Papers'!A:A,A180)&gt;0,1,0))</f>
        <v>1</v>
      </c>
      <c r="G180" t="e">
        <f ca="1">IF(ISBLANK(A180), "", IF(SUMIFS('Annotated Papers'!I:I, 'Annotated Papers'!A:A,A180)&gt;0,1,0))</f>
        <v>#NAME?</v>
      </c>
      <c r="H180">
        <f ca="1">IF(ISBLANK(A180), "", IF(SUMIFS('Annotated Papers'!L:L, 'Annotated Papers'!A:A,A180)&gt;0,1,0))</f>
        <v>0</v>
      </c>
      <c r="I180" s="24">
        <f ca="1">IF(ISBLANK(A180), "", VLOOKUP(A180,'Annotated Papers'!179:1218,4,FALSE))</f>
        <v>0</v>
      </c>
    </row>
    <row r="181" spans="1:9" ht="14">
      <c r="A181" s="26" t="str">
        <f ca="1">IFERROR(__xludf.DUMMYFUNCTION("""COMPUTED_VALUE"""),"Estimation of Individual Treatment Effect in Latent Confounder Models via Adversarial Learning")</f>
        <v>Estimation of Individual Treatment Effect in Latent Confounder Models via Adversarial Learning</v>
      </c>
      <c r="B181" t="str">
        <f ca="1">IF(ISBLANK(A181), "", VLOOKUP(A181,'Annotated Papers'!180:1219,2,FALSE))</f>
        <v>ML4H</v>
      </c>
      <c r="C181" s="24">
        <f ca="1">IF(ISBLANK(A181), "", VLOOKUP(A181,'Annotated Papers'!180:1219,5,FALSE))</f>
        <v>0</v>
      </c>
      <c r="D181">
        <f ca="1">IF(ISBLANK(A181), "", IF(COUNTIF('Annotated Papers'!A:A,A181)&gt;1,1,0))</f>
        <v>0</v>
      </c>
      <c r="E181">
        <f ca="1">IF(ISBLANK(A181), "", IF(SUMIFS('Annotated Papers'!G:G, 'Annotated Papers'!A:A,A181)&gt;0,1,0))</f>
        <v>0</v>
      </c>
      <c r="F181">
        <f ca="1">IF(ISBLANK(A181), "", IF(SUMIFS('Annotated Papers'!H:H, 'Annotated Papers'!A:A,A181)&gt;0,1,0))</f>
        <v>0</v>
      </c>
      <c r="G181" t="e">
        <f ca="1">IF(ISBLANK(A181), "", IF(SUMIFS('Annotated Papers'!I:I, 'Annotated Papers'!A:A,A181)&gt;0,1,0))</f>
        <v>#NAME?</v>
      </c>
      <c r="H181">
        <f ca="1">IF(ISBLANK(A181), "", IF(SUMIFS('Annotated Papers'!L:L, 'Annotated Papers'!A:A,A181)&gt;0,1,0))</f>
        <v>1</v>
      </c>
      <c r="I181" s="24">
        <f ca="1">IF(ISBLANK(A181), "", VLOOKUP(A181,'Annotated Papers'!180:1219,4,FALSE))</f>
        <v>0</v>
      </c>
    </row>
    <row r="182" spans="1:9" ht="14">
      <c r="A182" s="26" t="str">
        <f ca="1">IFERROR(__xludf.DUMMYFUNCTION("""COMPUTED_VALUE"""),"Unsupervised learning with contrastive latent variable models")</f>
        <v>Unsupervised learning with contrastive latent variable models</v>
      </c>
      <c r="B182" t="str">
        <f ca="1">IF(ISBLANK(A182), "", VLOOKUP(A182,'Annotated Papers'!181:1220,2,FALSE))</f>
        <v>ML4H</v>
      </c>
      <c r="C182" s="24">
        <f ca="1">IF(ISBLANK(A182), "", VLOOKUP(A182,'Annotated Papers'!181:1220,5,FALSE))</f>
        <v>0</v>
      </c>
      <c r="D182">
        <f ca="1">IF(ISBLANK(A182), "", IF(COUNTIF('Annotated Papers'!A:A,A182)&gt;1,1,0))</f>
        <v>0</v>
      </c>
      <c r="E182">
        <f ca="1">IF(ISBLANK(A182), "", IF(SUMIFS('Annotated Papers'!G:G, 'Annotated Papers'!A:A,A182)&gt;0,1,0))</f>
        <v>0</v>
      </c>
      <c r="F182">
        <f ca="1">IF(ISBLANK(A182), "", IF(SUMIFS('Annotated Papers'!H:H, 'Annotated Papers'!A:A,A182)&gt;0,1,0))</f>
        <v>0</v>
      </c>
      <c r="G182" t="e">
        <f ca="1">IF(ISBLANK(A182), "", IF(SUMIFS('Annotated Papers'!I:I, 'Annotated Papers'!A:A,A182)&gt;0,1,0))</f>
        <v>#NAME?</v>
      </c>
      <c r="H182">
        <f ca="1">IF(ISBLANK(A182), "", IF(SUMIFS('Annotated Papers'!L:L, 'Annotated Papers'!A:A,A182)&gt;0,1,0))</f>
        <v>0</v>
      </c>
      <c r="I182" s="24">
        <f ca="1">IF(ISBLANK(A182), "", VLOOKUP(A182,'Annotated Papers'!181:1220,4,FALSE))</f>
        <v>0</v>
      </c>
    </row>
    <row r="183" spans="1:9" ht="14">
      <c r="A183" s="25" t="str">
        <f ca="1">IFERROR(__xludf.DUMMYFUNCTION("""COMPUTED_VALUE"""),"Predicting pregnancy using large-scale data from a women's health tracking mobile application")</f>
        <v>Predicting pregnancy using large-scale data from a women's health tracking mobile application</v>
      </c>
      <c r="B183" t="str">
        <f ca="1">IF(ISBLANK(A183), "", VLOOKUP(A183,'Annotated Papers'!182:1221,2,FALSE))</f>
        <v>ML4H</v>
      </c>
      <c r="C183" s="24">
        <f ca="1">IF(ISBLANK(A183), "", VLOOKUP(A183,'Annotated Papers'!182:1221,5,FALSE))</f>
        <v>0</v>
      </c>
      <c r="D183">
        <f ca="1">IF(ISBLANK(A183), "", IF(COUNTIF('Annotated Papers'!A:A,A183)&gt;1,1,0))</f>
        <v>0</v>
      </c>
      <c r="E183">
        <f ca="1">IF(ISBLANK(A183), "", IF(SUMIFS('Annotated Papers'!G:G, 'Annotated Papers'!A:A,A183)&gt;0,1,0))</f>
        <v>1</v>
      </c>
      <c r="F183">
        <f ca="1">IF(ISBLANK(A183), "", IF(SUMIFS('Annotated Papers'!H:H, 'Annotated Papers'!A:A,A183)&gt;0,1,0))</f>
        <v>0</v>
      </c>
      <c r="G183" t="e">
        <f ca="1">IF(ISBLANK(A183), "", IF(SUMIFS('Annotated Papers'!I:I, 'Annotated Papers'!A:A,A183)&gt;0,1,0))</f>
        <v>#NAME?</v>
      </c>
      <c r="H183">
        <f ca="1">IF(ISBLANK(A183), "", IF(SUMIFS('Annotated Papers'!L:L, 'Annotated Papers'!A:A,A183)&gt;0,1,0))</f>
        <v>0</v>
      </c>
      <c r="I183" s="24">
        <f ca="1">IF(ISBLANK(A183), "", VLOOKUP(A183,'Annotated Papers'!182:1221,4,FALSE))</f>
        <v>0</v>
      </c>
    </row>
    <row r="184" spans="1:9" ht="14">
      <c r="A184" s="25" t="str">
        <f ca="1">IFERROR(__xludf.DUMMYFUNCTION("""COMPUTED_VALUE"""),"DeepSPINE: automated lumbar spinal stenosis grading using deep learning")</f>
        <v>DeepSPINE: automated lumbar spinal stenosis grading using deep learning</v>
      </c>
      <c r="B184" t="str">
        <f ca="1">IF(ISBLANK(A184), "", VLOOKUP(A184,'Annotated Papers'!183:1222,2,FALSE))</f>
        <v>ML4H</v>
      </c>
      <c r="C184" s="24">
        <f ca="1">IF(ISBLANK(A184), "", VLOOKUP(A184,'Annotated Papers'!183:1222,5,FALSE))</f>
        <v>0</v>
      </c>
      <c r="D184">
        <f ca="1">IF(ISBLANK(A184), "", IF(COUNTIF('Annotated Papers'!A:A,A184)&gt;1,1,0))</f>
        <v>0</v>
      </c>
      <c r="E184">
        <f ca="1">IF(ISBLANK(A184), "", IF(SUMIFS('Annotated Papers'!G:G, 'Annotated Papers'!A:A,A184)&gt;0,1,0))</f>
        <v>1</v>
      </c>
      <c r="F184">
        <f ca="1">IF(ISBLANK(A184), "", IF(SUMIFS('Annotated Papers'!H:H, 'Annotated Papers'!A:A,A184)&gt;0,1,0))</f>
        <v>0</v>
      </c>
      <c r="G184" t="e">
        <f ca="1">IF(ISBLANK(A184), "", IF(SUMIFS('Annotated Papers'!I:I, 'Annotated Papers'!A:A,A184)&gt;0,1,0))</f>
        <v>#NAME?</v>
      </c>
      <c r="H184">
        <f ca="1">IF(ISBLANK(A184), "", IF(SUMIFS('Annotated Papers'!L:L, 'Annotated Papers'!A:A,A184)&gt;0,1,0))</f>
        <v>1</v>
      </c>
      <c r="I184" s="24">
        <f ca="1">IF(ISBLANK(A184), "", VLOOKUP(A184,'Annotated Papers'!183:1222,4,FALSE))</f>
        <v>0</v>
      </c>
    </row>
    <row r="185" spans="1:9" ht="14">
      <c r="A185" s="26" t="str">
        <f ca="1">IFERROR(__xludf.DUMMYFUNCTION("""COMPUTED_VALUE"""),"Compensated Integrated Gradients to Reliably Interpret EEG Classification")</f>
        <v>Compensated Integrated Gradients to Reliably Interpret EEG Classification</v>
      </c>
      <c r="B185" t="str">
        <f ca="1">IF(ISBLANK(A185), "", VLOOKUP(A185,'Annotated Papers'!184:1223,2,FALSE))</f>
        <v>ML4H</v>
      </c>
      <c r="C185" s="24">
        <f ca="1">IF(ISBLANK(A185), "", VLOOKUP(A185,'Annotated Papers'!184:1223,5,FALSE))</f>
        <v>0</v>
      </c>
      <c r="D185">
        <f ca="1">IF(ISBLANK(A185), "", IF(COUNTIF('Annotated Papers'!A:A,A185)&gt;1,1,0))</f>
        <v>1</v>
      </c>
      <c r="E185">
        <f ca="1">IF(ISBLANK(A185), "", IF(SUMIFS('Annotated Papers'!G:G, 'Annotated Papers'!A:A,A185)&gt;0,1,0))</f>
        <v>0</v>
      </c>
      <c r="F185">
        <f ca="1">IF(ISBLANK(A185), "", IF(SUMIFS('Annotated Papers'!H:H, 'Annotated Papers'!A:A,A185)&gt;0,1,0))</f>
        <v>1</v>
      </c>
      <c r="G185" t="e">
        <f ca="1">IF(ISBLANK(A185), "", IF(SUMIFS('Annotated Papers'!I:I, 'Annotated Papers'!A:A,A185)&gt;0,1,0))</f>
        <v>#NAME?</v>
      </c>
      <c r="H185">
        <f ca="1">IF(ISBLANK(A185), "", IF(SUMIFS('Annotated Papers'!L:L, 'Annotated Papers'!A:A,A185)&gt;0,1,0))</f>
        <v>0</v>
      </c>
      <c r="I185" s="24">
        <f ca="1">IF(ISBLANK(A185), "", VLOOKUP(A185,'Annotated Papers'!184:1223,4,FALSE))</f>
        <v>0</v>
      </c>
    </row>
    <row r="186" spans="1:9" ht="14">
      <c r="A186" s="26" t="str">
        <f ca="1">IFERROR(__xludf.DUMMYFUNCTION("""COMPUTED_VALUE"""),"Deep Ensemble Tensor Factorization for Longitudinal Patient Trajectories Classification")</f>
        <v>Deep Ensemble Tensor Factorization for Longitudinal Patient Trajectories Classification</v>
      </c>
      <c r="B186" t="str">
        <f ca="1">IF(ISBLANK(A186), "", VLOOKUP(A186,'Annotated Papers'!185:1224,2,FALSE))</f>
        <v>ML4H</v>
      </c>
      <c r="C186" s="24">
        <f ca="1">IF(ISBLANK(A186), "", VLOOKUP(A186,'Annotated Papers'!185:1224,5,FALSE))</f>
        <v>0</v>
      </c>
      <c r="D186">
        <f ca="1">IF(ISBLANK(A186), "", IF(COUNTIF('Annotated Papers'!A:A,A186)&gt;1,1,0))</f>
        <v>0</v>
      </c>
      <c r="E186">
        <f ca="1">IF(ISBLANK(A186), "", IF(SUMIFS('Annotated Papers'!G:G, 'Annotated Papers'!A:A,A186)&gt;0,1,0))</f>
        <v>1</v>
      </c>
      <c r="F186">
        <f ca="1">IF(ISBLANK(A186), "", IF(SUMIFS('Annotated Papers'!H:H, 'Annotated Papers'!A:A,A186)&gt;0,1,0))</f>
        <v>1</v>
      </c>
      <c r="G186" t="e">
        <f ca="1">IF(ISBLANK(A186), "", IF(SUMIFS('Annotated Papers'!I:I, 'Annotated Papers'!A:A,A186)&gt;0,1,0))</f>
        <v>#NAME?</v>
      </c>
      <c r="H186">
        <f ca="1">IF(ISBLANK(A186), "", IF(SUMIFS('Annotated Papers'!L:L, 'Annotated Papers'!A:A,A186)&gt;0,1,0))</f>
        <v>0</v>
      </c>
      <c r="I186" s="24">
        <f ca="1">IF(ISBLANK(A186), "", VLOOKUP(A186,'Annotated Papers'!185:1224,4,FALSE))</f>
        <v>0</v>
      </c>
    </row>
    <row r="187" spans="1:9" ht="14">
      <c r="A187" s="26" t="str">
        <f ca="1">IFERROR(__xludf.DUMMYFUNCTION("""COMPUTED_VALUE"""),"TIFTI: A Framework for Extracting Drug Intervals from Longitudinal Clinic Notes")</f>
        <v>TIFTI: A Framework for Extracting Drug Intervals from Longitudinal Clinic Notes</v>
      </c>
      <c r="B187" t="str">
        <f ca="1">IF(ISBLANK(A187), "", VLOOKUP(A187,'Annotated Papers'!186:1225,2,FALSE))</f>
        <v>ML4H</v>
      </c>
      <c r="C187" s="24">
        <f ca="1">IF(ISBLANK(A187), "", VLOOKUP(A187,'Annotated Papers'!186:1225,5,FALSE))</f>
        <v>0</v>
      </c>
      <c r="D187">
        <f ca="1">IF(ISBLANK(A187), "", IF(COUNTIF('Annotated Papers'!A:A,A187)&gt;1,1,0))</f>
        <v>0</v>
      </c>
      <c r="E187">
        <f ca="1">IF(ISBLANK(A187), "", IF(SUMIFS('Annotated Papers'!G:G, 'Annotated Papers'!A:A,A187)&gt;0,1,0))</f>
        <v>1</v>
      </c>
      <c r="F187">
        <f ca="1">IF(ISBLANK(A187), "", IF(SUMIFS('Annotated Papers'!H:H, 'Annotated Papers'!A:A,A187)&gt;0,1,0))</f>
        <v>0</v>
      </c>
      <c r="G187" t="e">
        <f ca="1">IF(ISBLANK(A187), "", IF(SUMIFS('Annotated Papers'!I:I, 'Annotated Papers'!A:A,A187)&gt;0,1,0))</f>
        <v>#NAME?</v>
      </c>
      <c r="H187">
        <f ca="1">IF(ISBLANK(A187), "", IF(SUMIFS('Annotated Papers'!L:L, 'Annotated Papers'!A:A,A187)&gt;0,1,0))</f>
        <v>0</v>
      </c>
      <c r="I187" s="24">
        <f ca="1">IF(ISBLANK(A187), "", VLOOKUP(A187,'Annotated Papers'!186:1225,4,FALSE))</f>
        <v>0</v>
      </c>
    </row>
    <row r="188" spans="1:9" ht="14">
      <c r="A188" s="26" t="str">
        <f ca="1">IFERROR(__xludf.DUMMYFUNCTION("""COMPUTED_VALUE"""),"Automatic Diagnosis of Short-Duration 12-Lead ECG using Deep Convolutional Network")</f>
        <v>Automatic Diagnosis of Short-Duration 12-Lead ECG using Deep Convolutional Network</v>
      </c>
      <c r="B188" t="str">
        <f ca="1">IF(ISBLANK(A188), "", VLOOKUP(A188,'Annotated Papers'!187:1226,2,FALSE))</f>
        <v>ML4H</v>
      </c>
      <c r="C188" s="24">
        <f ca="1">IF(ISBLANK(A188), "", VLOOKUP(A188,'Annotated Papers'!187:1226,5,FALSE))</f>
        <v>0</v>
      </c>
      <c r="D188">
        <f ca="1">IF(ISBLANK(A188), "", IF(COUNTIF('Annotated Papers'!A:A,A188)&gt;1,1,0))</f>
        <v>0</v>
      </c>
      <c r="E188">
        <f ca="1">IF(ISBLANK(A188), "", IF(SUMIFS('Annotated Papers'!G:G, 'Annotated Papers'!A:A,A188)&gt;0,1,0))</f>
        <v>0</v>
      </c>
      <c r="F188">
        <f ca="1">IF(ISBLANK(A188), "", IF(SUMIFS('Annotated Papers'!H:H, 'Annotated Papers'!A:A,A188)&gt;0,1,0))</f>
        <v>0</v>
      </c>
      <c r="G188" t="e">
        <f ca="1">IF(ISBLANK(A188), "", IF(SUMIFS('Annotated Papers'!I:I, 'Annotated Papers'!A:A,A188)&gt;0,1,0))</f>
        <v>#NAME?</v>
      </c>
      <c r="H188">
        <f ca="1">IF(ISBLANK(A188), "", IF(SUMIFS('Annotated Papers'!L:L, 'Annotated Papers'!A:A,A188)&gt;0,1,0))</f>
        <v>0</v>
      </c>
      <c r="I188" s="24">
        <f ca="1">IF(ISBLANK(A188), "", VLOOKUP(A188,'Annotated Papers'!187:1226,4,FALSE))</f>
        <v>0</v>
      </c>
    </row>
    <row r="189" spans="1:9" ht="14">
      <c r="A189" s="26" t="str">
        <f ca="1">IFERROR(__xludf.DUMMYFUNCTION("""COMPUTED_VALUE"""),"A Bayesian model of acquisition and clearance of bacterial colonization")</f>
        <v>A Bayesian model of acquisition and clearance of bacterial colonization</v>
      </c>
      <c r="B189" t="str">
        <f ca="1">IF(ISBLANK(A189), "", VLOOKUP(A189,'Annotated Papers'!188:1227,2,FALSE))</f>
        <v>ML4H</v>
      </c>
      <c r="C189" s="24">
        <f ca="1">IF(ISBLANK(A189), "", VLOOKUP(A189,'Annotated Papers'!188:1227,5,FALSE))</f>
        <v>0</v>
      </c>
      <c r="D189">
        <f ca="1">IF(ISBLANK(A189), "", IF(COUNTIF('Annotated Papers'!A:A,A189)&gt;1,1,0))</f>
        <v>0</v>
      </c>
      <c r="E189">
        <f ca="1">IF(ISBLANK(A189), "", IF(SUMIFS('Annotated Papers'!G:G, 'Annotated Papers'!A:A,A189)&gt;0,1,0))</f>
        <v>0</v>
      </c>
      <c r="F189">
        <f ca="1">IF(ISBLANK(A189), "", IF(SUMIFS('Annotated Papers'!H:H, 'Annotated Papers'!A:A,A189)&gt;0,1,0))</f>
        <v>0</v>
      </c>
      <c r="G189" t="e">
        <f ca="1">IF(ISBLANK(A189), "", IF(SUMIFS('Annotated Papers'!I:I, 'Annotated Papers'!A:A,A189)&gt;0,1,0))</f>
        <v>#NAME?</v>
      </c>
      <c r="H189">
        <f ca="1">IF(ISBLANK(A189), "", IF(SUMIFS('Annotated Papers'!L:L, 'Annotated Papers'!A:A,A189)&gt;0,1,0))</f>
        <v>1</v>
      </c>
      <c r="I189" s="24">
        <f ca="1">IF(ISBLANK(A189), "", VLOOKUP(A189,'Annotated Papers'!188:1227,4,FALSE))</f>
        <v>0</v>
      </c>
    </row>
    <row r="190" spans="1:9" ht="14">
      <c r="A190" s="26" t="str">
        <f ca="1">IFERROR(__xludf.DUMMYFUNCTION("""COMPUTED_VALUE"""),"A Probabilistic Model of Cardiac Physiology and Electrocardiograms")</f>
        <v>A Probabilistic Model of Cardiac Physiology and Electrocardiograms</v>
      </c>
      <c r="B190" t="str">
        <f ca="1">IF(ISBLANK(A190), "", VLOOKUP(A190,'Annotated Papers'!189:1228,2,FALSE))</f>
        <v>ML4H</v>
      </c>
      <c r="C190" s="24">
        <f ca="1">IF(ISBLANK(A190), "", VLOOKUP(A190,'Annotated Papers'!189:1228,5,FALSE))</f>
        <v>0</v>
      </c>
      <c r="D190">
        <f ca="1">IF(ISBLANK(A190), "", IF(COUNTIF('Annotated Papers'!A:A,A190)&gt;1,1,0))</f>
        <v>1</v>
      </c>
      <c r="E190">
        <f ca="1">IF(ISBLANK(A190), "", IF(SUMIFS('Annotated Papers'!G:G, 'Annotated Papers'!A:A,A190)&gt;0,1,0))</f>
        <v>1</v>
      </c>
      <c r="F190">
        <f ca="1">IF(ISBLANK(A190), "", IF(SUMIFS('Annotated Papers'!H:H, 'Annotated Papers'!A:A,A190)&gt;0,1,0))</f>
        <v>1</v>
      </c>
      <c r="G190" t="e">
        <f ca="1">IF(ISBLANK(A190), "", IF(SUMIFS('Annotated Papers'!I:I, 'Annotated Papers'!A:A,A190)&gt;0,1,0))</f>
        <v>#NAME?</v>
      </c>
      <c r="H190">
        <f ca="1">IF(ISBLANK(A190), "", IF(SUMIFS('Annotated Papers'!L:L, 'Annotated Papers'!A:A,A190)&gt;0,1,0))</f>
        <v>1</v>
      </c>
      <c r="I190" s="24">
        <f ca="1">IF(ISBLANK(A190), "", VLOOKUP(A190,'Annotated Papers'!189:1228,4,FALSE))</f>
        <v>0</v>
      </c>
    </row>
    <row r="191" spans="1:9" ht="14">
      <c r="A191" s="25" t="str">
        <f ca="1">IFERROR(__xludf.DUMMYFUNCTION("""COMPUTED_VALUE"""),"Automated Radiation Therapy Treatment Planning using 3-D Generative Adversarial Networks")</f>
        <v>Automated Radiation Therapy Treatment Planning using 3-D Generative Adversarial Networks</v>
      </c>
      <c r="B191" t="str">
        <f ca="1">IF(ISBLANK(A191), "", VLOOKUP(A191,'Annotated Papers'!190:1229,2,FALSE))</f>
        <v>ML4H</v>
      </c>
      <c r="C191" s="24">
        <f ca="1">IF(ISBLANK(A191), "", VLOOKUP(A191,'Annotated Papers'!190:1229,5,FALSE))</f>
        <v>1</v>
      </c>
      <c r="D191">
        <f ca="1">IF(ISBLANK(A191), "", IF(COUNTIF('Annotated Papers'!A:A,A191)&gt;1,1,0))</f>
        <v>0</v>
      </c>
      <c r="E191">
        <f ca="1">IF(ISBLANK(A191), "", IF(SUMIFS('Annotated Papers'!G:G, 'Annotated Papers'!A:A,A191)&gt;0,1,0))</f>
        <v>0</v>
      </c>
      <c r="F191">
        <f ca="1">IF(ISBLANK(A191), "", IF(SUMIFS('Annotated Papers'!H:H, 'Annotated Papers'!A:A,A191)&gt;0,1,0))</f>
        <v>0</v>
      </c>
      <c r="G191" t="e">
        <f ca="1">IF(ISBLANK(A191), "", IF(SUMIFS('Annotated Papers'!I:I, 'Annotated Papers'!A:A,A191)&gt;0,1,0))</f>
        <v>#NAME?</v>
      </c>
      <c r="H191">
        <f ca="1">IF(ISBLANK(A191), "", IF(SUMIFS('Annotated Papers'!L:L, 'Annotated Papers'!A:A,A191)&gt;0,1,0))</f>
        <v>1</v>
      </c>
      <c r="I191" s="24">
        <f ca="1">IF(ISBLANK(A191), "", VLOOKUP(A191,'Annotated Papers'!190:1229,4,FALSE))</f>
        <v>0</v>
      </c>
    </row>
    <row r="192" spans="1:9" ht="14">
      <c r="A192" s="26" t="str">
        <f ca="1">IFERROR(__xludf.DUMMYFUNCTION("""COMPUTED_VALUE"""),"Imputation of Clinical Covariates in Time Series")</f>
        <v>Imputation of Clinical Covariates in Time Series</v>
      </c>
      <c r="B192" t="str">
        <f ca="1">IF(ISBLANK(A192), "", VLOOKUP(A192,'Annotated Papers'!191:1230,2,FALSE))</f>
        <v>ML4H</v>
      </c>
      <c r="C192" s="24">
        <f ca="1">IF(ISBLANK(A192), "", VLOOKUP(A192,'Annotated Papers'!191:1230,5,FALSE))</f>
        <v>0</v>
      </c>
      <c r="D192">
        <f ca="1">IF(ISBLANK(A192), "", IF(COUNTIF('Annotated Papers'!A:A,A192)&gt;1,1,0))</f>
        <v>0</v>
      </c>
      <c r="E192">
        <f ca="1">IF(ISBLANK(A192), "", IF(SUMIFS('Annotated Papers'!G:G, 'Annotated Papers'!A:A,A192)&gt;0,1,0))</f>
        <v>1</v>
      </c>
      <c r="F192">
        <f ca="1">IF(ISBLANK(A192), "", IF(SUMIFS('Annotated Papers'!H:H, 'Annotated Papers'!A:A,A192)&gt;0,1,0))</f>
        <v>1</v>
      </c>
      <c r="G192" t="e">
        <f ca="1">IF(ISBLANK(A192), "", IF(SUMIFS('Annotated Papers'!I:I, 'Annotated Papers'!A:A,A192)&gt;0,1,0))</f>
        <v>#NAME?</v>
      </c>
      <c r="H192">
        <f ca="1">IF(ISBLANK(A192), "", IF(SUMIFS('Annotated Papers'!L:L, 'Annotated Papers'!A:A,A192)&gt;0,1,0))</f>
        <v>0</v>
      </c>
      <c r="I192" s="24">
        <f ca="1">IF(ISBLANK(A192), "", VLOOKUP(A192,'Annotated Papers'!191:1230,4,FALSE))</f>
        <v>0</v>
      </c>
    </row>
    <row r="193" spans="1:9" ht="14">
      <c r="A193" s="25" t="str">
        <f ca="1">IFERROR(__xludf.DUMMYFUNCTION("""COMPUTED_VALUE"""),"Advancing PICO Element Detection in Medical Text via Deep Neural Networks")</f>
        <v>Advancing PICO Element Detection in Medical Text via Deep Neural Networks</v>
      </c>
      <c r="B193" t="str">
        <f ca="1">IF(ISBLANK(A193), "", VLOOKUP(A193,'Annotated Papers'!192:1231,2,FALSE))</f>
        <v>ML4H</v>
      </c>
      <c r="C193" s="24">
        <f ca="1">IF(ISBLANK(A193), "", VLOOKUP(A193,'Annotated Papers'!192:1231,5,FALSE))</f>
        <v>0</v>
      </c>
      <c r="D193">
        <f ca="1">IF(ISBLANK(A193), "", IF(COUNTIF('Annotated Papers'!A:A,A193)&gt;1,1,0))</f>
        <v>0</v>
      </c>
      <c r="E193">
        <f ca="1">IF(ISBLANK(A193), "", IF(SUMIFS('Annotated Papers'!G:G, 'Annotated Papers'!A:A,A193)&gt;0,1,0))</f>
        <v>0</v>
      </c>
      <c r="F193">
        <f ca="1">IF(ISBLANK(A193), "", IF(SUMIFS('Annotated Papers'!H:H, 'Annotated Papers'!A:A,A193)&gt;0,1,0))</f>
        <v>1</v>
      </c>
      <c r="G193" t="e">
        <f ca="1">IF(ISBLANK(A193), "", IF(SUMIFS('Annotated Papers'!I:I, 'Annotated Papers'!A:A,A193)&gt;0,1,0))</f>
        <v>#NAME?</v>
      </c>
      <c r="H193">
        <f ca="1">IF(ISBLANK(A193), "", IF(SUMIFS('Annotated Papers'!L:L, 'Annotated Papers'!A:A,A193)&gt;0,1,0))</f>
        <v>0</v>
      </c>
      <c r="I193" s="24">
        <f ca="1">IF(ISBLANK(A193), "", VLOOKUP(A193,'Annotated Papers'!192:1231,4,FALSE))</f>
        <v>0</v>
      </c>
    </row>
    <row r="194" spans="1:9" ht="14">
      <c r="A194" s="26" t="str">
        <f ca="1">IFERROR(__xludf.DUMMYFUNCTION("""COMPUTED_VALUE"""),"Time Aggregation and Model Interpretation for Deep Multivariate Longitudinal Patient Outcome Forecasting Systems in Chronic Ambulatory Care")</f>
        <v>Time Aggregation and Model Interpretation for Deep Multivariate Longitudinal Patient Outcome Forecasting Systems in Chronic Ambulatory Care</v>
      </c>
      <c r="B194" t="str">
        <f ca="1">IF(ISBLANK(A194), "", VLOOKUP(A194,'Annotated Papers'!193:1232,2,FALSE))</f>
        <v>ML4H</v>
      </c>
      <c r="C194" s="24">
        <f ca="1">IF(ISBLANK(A194), "", VLOOKUP(A194,'Annotated Papers'!193:1232,5,FALSE))</f>
        <v>0</v>
      </c>
      <c r="D194">
        <f ca="1">IF(ISBLANK(A194), "", IF(COUNTIF('Annotated Papers'!A:A,A194)&gt;1,1,0))</f>
        <v>0</v>
      </c>
      <c r="E194">
        <f ca="1">IF(ISBLANK(A194), "", IF(SUMIFS('Annotated Papers'!G:G, 'Annotated Papers'!A:A,A194)&gt;0,1,0))</f>
        <v>1</v>
      </c>
      <c r="F194">
        <f ca="1">IF(ISBLANK(A194), "", IF(SUMIFS('Annotated Papers'!H:H, 'Annotated Papers'!A:A,A194)&gt;0,1,0))</f>
        <v>0</v>
      </c>
      <c r="G194" t="e">
        <f ca="1">IF(ISBLANK(A194), "", IF(SUMIFS('Annotated Papers'!I:I, 'Annotated Papers'!A:A,A194)&gt;0,1,0))</f>
        <v>#NAME?</v>
      </c>
      <c r="H194">
        <f ca="1">IF(ISBLANK(A194), "", IF(SUMIFS('Annotated Papers'!L:L, 'Annotated Papers'!A:A,A194)&gt;0,1,0))</f>
        <v>1</v>
      </c>
      <c r="I194" s="24">
        <f ca="1">IF(ISBLANK(A194), "", VLOOKUP(A194,'Annotated Papers'!193:1232,4,FALSE))</f>
        <v>0</v>
      </c>
    </row>
    <row r="195" spans="1:9" ht="14">
      <c r="A195" s="25" t="str">
        <f ca="1">IFERROR(__xludf.DUMMYFUNCTION("""COMPUTED_VALUE"""),"ProstateGAN: Mitigating Data Bias via Prostate Diffusion Imaging Synthesis with Generative Adversarial Networks")</f>
        <v>ProstateGAN: Mitigating Data Bias via Prostate Diffusion Imaging Synthesis with Generative Adversarial Networks</v>
      </c>
      <c r="B195" t="str">
        <f ca="1">IF(ISBLANK(A195), "", VLOOKUP(A195,'Annotated Papers'!194:1233,2,FALSE))</f>
        <v>ML4H</v>
      </c>
      <c r="C195" s="24">
        <f ca="1">IF(ISBLANK(A195), "", VLOOKUP(A195,'Annotated Papers'!194:1233,5,FALSE))</f>
        <v>0</v>
      </c>
      <c r="D195">
        <f ca="1">IF(ISBLANK(A195), "", IF(COUNTIF('Annotated Papers'!A:A,A195)&gt;1,1,0))</f>
        <v>0</v>
      </c>
      <c r="E195">
        <f ca="1">IF(ISBLANK(A195), "", IF(SUMIFS('Annotated Papers'!G:G, 'Annotated Papers'!A:A,A195)&gt;0,1,0))</f>
        <v>1</v>
      </c>
      <c r="F195">
        <f ca="1">IF(ISBLANK(A195), "", IF(SUMIFS('Annotated Papers'!H:H, 'Annotated Papers'!A:A,A195)&gt;0,1,0))</f>
        <v>0</v>
      </c>
      <c r="G195" t="e">
        <f ca="1">IF(ISBLANK(A195), "", IF(SUMIFS('Annotated Papers'!I:I, 'Annotated Papers'!A:A,A195)&gt;0,1,0))</f>
        <v>#NAME?</v>
      </c>
      <c r="H195">
        <f ca="1">IF(ISBLANK(A195), "", IF(SUMIFS('Annotated Papers'!L:L, 'Annotated Papers'!A:A,A195)&gt;0,1,0))</f>
        <v>0</v>
      </c>
      <c r="I195" s="24">
        <f ca="1">IF(ISBLANK(A195), "", VLOOKUP(A195,'Annotated Papers'!194:1233,4,FALSE))</f>
        <v>0</v>
      </c>
    </row>
    <row r="196" spans="1:9" ht="14">
      <c r="A196" s="26" t="str">
        <f ca="1">IFERROR(__xludf.DUMMYFUNCTION("""COMPUTED_VALUE"""),"Predicting Language Recovery after Stroke with Convolutional Networks on Stitched MRI")</f>
        <v>Predicting Language Recovery after Stroke with Convolutional Networks on Stitched MRI</v>
      </c>
      <c r="B196" t="str">
        <f ca="1">IF(ISBLANK(A196), "", VLOOKUP(A196,'Annotated Papers'!195:1234,2,FALSE))</f>
        <v>ML4H</v>
      </c>
      <c r="C196" s="24">
        <f ca="1">IF(ISBLANK(A196), "", VLOOKUP(A196,'Annotated Papers'!195:1234,5,FALSE))</f>
        <v>0</v>
      </c>
      <c r="D196">
        <f ca="1">IF(ISBLANK(A196), "", IF(COUNTIF('Annotated Papers'!A:A,A196)&gt;1,1,0))</f>
        <v>0</v>
      </c>
      <c r="E196">
        <f ca="1">IF(ISBLANK(A196), "", IF(SUMIFS('Annotated Papers'!G:G, 'Annotated Papers'!A:A,A196)&gt;0,1,0))</f>
        <v>1</v>
      </c>
      <c r="F196">
        <f ca="1">IF(ISBLANK(A196), "", IF(SUMIFS('Annotated Papers'!H:H, 'Annotated Papers'!A:A,A196)&gt;0,1,0))</f>
        <v>1</v>
      </c>
      <c r="G196" t="e">
        <f ca="1">IF(ISBLANK(A196), "", IF(SUMIFS('Annotated Papers'!I:I, 'Annotated Papers'!A:A,A196)&gt;0,1,0))</f>
        <v>#NAME?</v>
      </c>
      <c r="H196">
        <f ca="1">IF(ISBLANK(A196), "", IF(SUMIFS('Annotated Papers'!L:L, 'Annotated Papers'!A:A,A196)&gt;0,1,0))</f>
        <v>0</v>
      </c>
      <c r="I196" s="24">
        <f ca="1">IF(ISBLANK(A196), "", VLOOKUP(A196,'Annotated Papers'!195:1234,4,FALSE))</f>
        <v>0</v>
      </c>
    </row>
    <row r="197" spans="1:9" ht="14">
      <c r="A197" s="26" t="str">
        <f ca="1">IFERROR(__xludf.DUMMYFUNCTION("""COMPUTED_VALUE"""),"The Effect of Heterogeneous Data for Alzheimer's Disease Detection from Speech")</f>
        <v>The Effect of Heterogeneous Data for Alzheimer's Disease Detection from Speech</v>
      </c>
      <c r="B197" t="str">
        <f ca="1">IF(ISBLANK(A197), "", VLOOKUP(A197,'Annotated Papers'!196:1235,2,FALSE))</f>
        <v>ML4H</v>
      </c>
      <c r="C197" s="24">
        <f ca="1">IF(ISBLANK(A197), "", VLOOKUP(A197,'Annotated Papers'!196:1235,5,FALSE))</f>
        <v>0</v>
      </c>
      <c r="D197">
        <f ca="1">IF(ISBLANK(A197), "", IF(COUNTIF('Annotated Papers'!A:A,A197)&gt;1,1,0))</f>
        <v>1</v>
      </c>
      <c r="E197">
        <f ca="1">IF(ISBLANK(A197), "", IF(SUMIFS('Annotated Papers'!G:G, 'Annotated Papers'!A:A,A197)&gt;0,1,0))</f>
        <v>0</v>
      </c>
      <c r="F197">
        <f ca="1">IF(ISBLANK(A197), "", IF(SUMIFS('Annotated Papers'!H:H, 'Annotated Papers'!A:A,A197)&gt;0,1,0))</f>
        <v>1</v>
      </c>
      <c r="G197" t="e">
        <f ca="1">IF(ISBLANK(A197), "", IF(SUMIFS('Annotated Papers'!I:I, 'Annotated Papers'!A:A,A197)&gt;0,1,0))</f>
        <v>#NAME?</v>
      </c>
      <c r="H197">
        <f ca="1">IF(ISBLANK(A197), "", IF(SUMIFS('Annotated Papers'!L:L, 'Annotated Papers'!A:A,A197)&gt;0,1,0))</f>
        <v>1</v>
      </c>
      <c r="I197" s="24">
        <f ca="1">IF(ISBLANK(A197), "", VLOOKUP(A197,'Annotated Papers'!196:1235,4,FALSE))</f>
        <v>0</v>
      </c>
    </row>
    <row r="198" spans="1:9" ht="14">
      <c r="A198" s="26" t="str">
        <f ca="1">IFERROR(__xludf.DUMMYFUNCTION("""COMPUTED_VALUE"""),"Corresponding Projections for Orphan Screening")</f>
        <v>Corresponding Projections for Orphan Screening</v>
      </c>
      <c r="B198" t="str">
        <f ca="1">IF(ISBLANK(A198), "", VLOOKUP(A198,'Annotated Papers'!197:1236,2,FALSE))</f>
        <v>ML4H</v>
      </c>
      <c r="C198" s="24">
        <f ca="1">IF(ISBLANK(A198), "", VLOOKUP(A198,'Annotated Papers'!197:1236,5,FALSE))</f>
        <v>1</v>
      </c>
      <c r="D198">
        <f ca="1">IF(ISBLANK(A198), "", IF(COUNTIF('Annotated Papers'!A:A,A198)&gt;1,1,0))</f>
        <v>0</v>
      </c>
      <c r="E198">
        <f ca="1">IF(ISBLANK(A198), "", IF(SUMIFS('Annotated Papers'!G:G, 'Annotated Papers'!A:A,A198)&gt;0,1,0))</f>
        <v>0</v>
      </c>
      <c r="F198">
        <f ca="1">IF(ISBLANK(A198), "", IF(SUMIFS('Annotated Papers'!H:H, 'Annotated Papers'!A:A,A198)&gt;0,1,0))</f>
        <v>1</v>
      </c>
      <c r="G198" t="e">
        <f ca="1">IF(ISBLANK(A198), "", IF(SUMIFS('Annotated Papers'!I:I, 'Annotated Papers'!A:A,A198)&gt;0,1,0))</f>
        <v>#NAME?</v>
      </c>
      <c r="H198">
        <f ca="1">IF(ISBLANK(A198), "", IF(SUMIFS('Annotated Papers'!L:L, 'Annotated Papers'!A:A,A198)&gt;0,1,0))</f>
        <v>1</v>
      </c>
      <c r="I198" s="24">
        <f ca="1">IF(ISBLANK(A198), "", VLOOKUP(A198,'Annotated Papers'!197:1236,4,FALSE))</f>
        <v>0</v>
      </c>
    </row>
    <row r="199" spans="1:9" ht="14">
      <c r="A199" s="25" t="str">
        <f ca="1">IFERROR(__xludf.DUMMYFUNCTION("""COMPUTED_VALUE"""),"Deep Learning with Attention to Predict Gestational Age of the Fetal Brain")</f>
        <v>Deep Learning with Attention to Predict Gestational Age of the Fetal Brain</v>
      </c>
      <c r="B199" t="str">
        <f ca="1">IF(ISBLANK(A199), "", VLOOKUP(A199,'Annotated Papers'!198:1237,2,FALSE))</f>
        <v>ML4H</v>
      </c>
      <c r="C199" s="24">
        <f ca="1">IF(ISBLANK(A199), "", VLOOKUP(A199,'Annotated Papers'!198:1237,5,FALSE))</f>
        <v>0</v>
      </c>
      <c r="D199">
        <f ca="1">IF(ISBLANK(A199), "", IF(COUNTIF('Annotated Papers'!A:A,A199)&gt;1,1,0))</f>
        <v>0</v>
      </c>
      <c r="E199">
        <f ca="1">IF(ISBLANK(A199), "", IF(SUMIFS('Annotated Papers'!G:G, 'Annotated Papers'!A:A,A199)&gt;0,1,0))</f>
        <v>0</v>
      </c>
      <c r="F199">
        <f ca="1">IF(ISBLANK(A199), "", IF(SUMIFS('Annotated Papers'!H:H, 'Annotated Papers'!A:A,A199)&gt;0,1,0))</f>
        <v>0</v>
      </c>
      <c r="G199" t="e">
        <f ca="1">IF(ISBLANK(A199), "", IF(SUMIFS('Annotated Papers'!I:I, 'Annotated Papers'!A:A,A199)&gt;0,1,0))</f>
        <v>#NAME?</v>
      </c>
      <c r="H199">
        <f ca="1">IF(ISBLANK(A199), "", IF(SUMIFS('Annotated Papers'!L:L, 'Annotated Papers'!A:A,A199)&gt;0,1,0))</f>
        <v>0</v>
      </c>
      <c r="I199" s="24">
        <f ca="1">IF(ISBLANK(A199), "", VLOOKUP(A199,'Annotated Papers'!198:1237,4,FALSE))</f>
        <v>0</v>
      </c>
    </row>
    <row r="200" spans="1:9" ht="14">
      <c r="A200" s="26" t="str">
        <f ca="1">IFERROR(__xludf.DUMMYFUNCTION("""COMPUTED_VALUE"""),"Rank Projection Trees for Multilevel Neural Network Interpretation")</f>
        <v>Rank Projection Trees for Multilevel Neural Network Interpretation</v>
      </c>
      <c r="B200" t="str">
        <f ca="1">IF(ISBLANK(A200), "", VLOOKUP(A200,'Annotated Papers'!199:1238,2,FALSE))</f>
        <v>ML4H</v>
      </c>
      <c r="C200" s="24">
        <f ca="1">IF(ISBLANK(A200), "", VLOOKUP(A200,'Annotated Papers'!199:1238,5,FALSE))</f>
        <v>0</v>
      </c>
      <c r="D200">
        <f ca="1">IF(ISBLANK(A200), "", IF(COUNTIF('Annotated Papers'!A:A,A200)&gt;1,1,0))</f>
        <v>1</v>
      </c>
      <c r="E200">
        <f ca="1">IF(ISBLANK(A200), "", IF(SUMIFS('Annotated Papers'!G:G, 'Annotated Papers'!A:A,A200)&gt;0,1,0))</f>
        <v>0</v>
      </c>
      <c r="F200">
        <f ca="1">IF(ISBLANK(A200), "", IF(SUMIFS('Annotated Papers'!H:H, 'Annotated Papers'!A:A,A200)&gt;0,1,0))</f>
        <v>1</v>
      </c>
      <c r="G200" t="e">
        <f ca="1">IF(ISBLANK(A200), "", IF(SUMIFS('Annotated Papers'!I:I, 'Annotated Papers'!A:A,A200)&gt;0,1,0))</f>
        <v>#NAME?</v>
      </c>
      <c r="H200">
        <f ca="1">IF(ISBLANK(A200), "", IF(SUMIFS('Annotated Papers'!L:L, 'Annotated Papers'!A:A,A200)&gt;0,1,0))</f>
        <v>1</v>
      </c>
      <c r="I200" s="24">
        <f ca="1">IF(ISBLANK(A200), "", VLOOKUP(A200,'Annotated Papers'!199:1238,4,FALSE))</f>
        <v>0</v>
      </c>
    </row>
    <row r="201" spans="1:9" ht="14">
      <c r="A201" s="26" t="str">
        <f ca="1">IFERROR(__xludf.DUMMYFUNCTION("""COMPUTED_VALUE"""),"Using permutations to assess confounding in machine learning applications for digital health")</f>
        <v>Using permutations to assess confounding in machine learning applications for digital health</v>
      </c>
      <c r="B201" t="str">
        <f ca="1">IF(ISBLANK(A201), "", VLOOKUP(A201,'Annotated Papers'!200:1239,2,FALSE))</f>
        <v>ML4H</v>
      </c>
      <c r="C201" s="24">
        <f ca="1">IF(ISBLANK(A201), "", VLOOKUP(A201,'Annotated Papers'!200:1239,5,FALSE))</f>
        <v>0</v>
      </c>
      <c r="D201">
        <f ca="1">IF(ISBLANK(A201), "", IF(COUNTIF('Annotated Papers'!A:A,A201)&gt;1,1,0))</f>
        <v>0</v>
      </c>
      <c r="E201">
        <f ca="1">IF(ISBLANK(A201), "", IF(SUMIFS('Annotated Papers'!G:G, 'Annotated Papers'!A:A,A201)&gt;0,1,0))</f>
        <v>1</v>
      </c>
      <c r="F201">
        <f ca="1">IF(ISBLANK(A201), "", IF(SUMIFS('Annotated Papers'!H:H, 'Annotated Papers'!A:A,A201)&gt;0,1,0))</f>
        <v>0</v>
      </c>
      <c r="G201" t="e">
        <f ca="1">IF(ISBLANK(A201), "", IF(SUMIFS('Annotated Papers'!I:I, 'Annotated Papers'!A:A,A201)&gt;0,1,0))</f>
        <v>#NAME?</v>
      </c>
      <c r="H201">
        <f ca="1">IF(ISBLANK(A201), "", IF(SUMIFS('Annotated Papers'!L:L, 'Annotated Papers'!A:A,A201)&gt;0,1,0))</f>
        <v>1</v>
      </c>
      <c r="I201" s="24">
        <f ca="1">IF(ISBLANK(A201), "", VLOOKUP(A201,'Annotated Papers'!200:1239,4,FALSE))</f>
        <v>0</v>
      </c>
    </row>
    <row r="202" spans="1:9" ht="14">
      <c r="A202" s="26" t="str">
        <f ca="1">IFERROR(__xludf.DUMMYFUNCTION("""COMPUTED_VALUE"""),"Robustness against the channel effect in pathological voice detection")</f>
        <v>Robustness against the channel effect in pathological voice detection</v>
      </c>
      <c r="B202" t="str">
        <f ca="1">IF(ISBLANK(A202), "", VLOOKUP(A202,'Annotated Papers'!201:1240,2,FALSE))</f>
        <v>ML4H</v>
      </c>
      <c r="C202" s="24">
        <f ca="1">IF(ISBLANK(A202), "", VLOOKUP(A202,'Annotated Papers'!201:1240,5,FALSE))</f>
        <v>0</v>
      </c>
      <c r="D202">
        <f ca="1">IF(ISBLANK(A202), "", IF(COUNTIF('Annotated Papers'!A:A,A202)&gt;1,1,0))</f>
        <v>0</v>
      </c>
      <c r="E202">
        <f ca="1">IF(ISBLANK(A202), "", IF(SUMIFS('Annotated Papers'!G:G, 'Annotated Papers'!A:A,A202)&gt;0,1,0))</f>
        <v>1</v>
      </c>
      <c r="F202">
        <f ca="1">IF(ISBLANK(A202), "", IF(SUMIFS('Annotated Papers'!H:H, 'Annotated Papers'!A:A,A202)&gt;0,1,0))</f>
        <v>0</v>
      </c>
      <c r="G202" t="e">
        <f ca="1">IF(ISBLANK(A202), "", IF(SUMIFS('Annotated Papers'!I:I, 'Annotated Papers'!A:A,A202)&gt;0,1,0))</f>
        <v>#NAME?</v>
      </c>
      <c r="H202">
        <f ca="1">IF(ISBLANK(A202), "", IF(SUMIFS('Annotated Papers'!L:L, 'Annotated Papers'!A:A,A202)&gt;0,1,0))</f>
        <v>0</v>
      </c>
      <c r="I202" s="24">
        <f ca="1">IF(ISBLANK(A202), "", VLOOKUP(A202,'Annotated Papers'!201:1240,4,FALSE))</f>
        <v>0</v>
      </c>
    </row>
    <row r="203" spans="1:9" ht="14">
      <c r="A203" s="25" t="str">
        <f ca="1">IFERROR(__xludf.DUMMYFUNCTION("""COMPUTED_VALUE"""),"Learning to Unlearn: Building Immunity to Dataset Bias in Medical Imaging Studies")</f>
        <v>Learning to Unlearn: Building Immunity to Dataset Bias in Medical Imaging Studies</v>
      </c>
      <c r="B203" t="str">
        <f ca="1">IF(ISBLANK(A203), "", VLOOKUP(A203,'Annotated Papers'!202:1241,2,FALSE))</f>
        <v>ML4H</v>
      </c>
      <c r="C203" s="24">
        <f ca="1">IF(ISBLANK(A203), "", VLOOKUP(A203,'Annotated Papers'!202:1241,5,FALSE))</f>
        <v>0</v>
      </c>
      <c r="D203">
        <f ca="1">IF(ISBLANK(A203), "", IF(COUNTIF('Annotated Papers'!A:A,A203)&gt;1,1,0))</f>
        <v>1</v>
      </c>
      <c r="E203">
        <f ca="1">IF(ISBLANK(A203), "", IF(SUMIFS('Annotated Papers'!G:G, 'Annotated Papers'!A:A,A203)&gt;0,1,0))</f>
        <v>1</v>
      </c>
      <c r="F203">
        <f ca="1">IF(ISBLANK(A203), "", IF(SUMIFS('Annotated Papers'!H:H, 'Annotated Papers'!A:A,A203)&gt;0,1,0))</f>
        <v>1</v>
      </c>
      <c r="G203" t="e">
        <f ca="1">IF(ISBLANK(A203), "", IF(SUMIFS('Annotated Papers'!I:I, 'Annotated Papers'!A:A,A203)&gt;0,1,0))</f>
        <v>#NAME?</v>
      </c>
      <c r="H203">
        <f ca="1">IF(ISBLANK(A203), "", IF(SUMIFS('Annotated Papers'!L:L, 'Annotated Papers'!A:A,A203)&gt;0,1,0))</f>
        <v>0</v>
      </c>
      <c r="I203" s="24">
        <f ca="1">IF(ISBLANK(A203), "", VLOOKUP(A203,'Annotated Papers'!202:1241,4,FALSE))</f>
        <v>0</v>
      </c>
    </row>
    <row r="204" spans="1:9" ht="14">
      <c r="A204" s="25" t="str">
        <f ca="1">IFERROR(__xludf.DUMMYFUNCTION("""COMPUTED_VALUE"""),"Modeling the Biological Pathology Continuum with HSIC-regularized Wasserstein Auto-encoders")</f>
        <v>Modeling the Biological Pathology Continuum with HSIC-regularized Wasserstein Auto-encoders</v>
      </c>
      <c r="B204" t="str">
        <f ca="1">IF(ISBLANK(A204), "", VLOOKUP(A204,'Annotated Papers'!203:1242,2,FALSE))</f>
        <v>ML4H</v>
      </c>
      <c r="C204" s="24">
        <f ca="1">IF(ISBLANK(A204), "", VLOOKUP(A204,'Annotated Papers'!203:1242,5,FALSE))</f>
        <v>0</v>
      </c>
      <c r="D204">
        <f ca="1">IF(ISBLANK(A204), "", IF(COUNTIF('Annotated Papers'!A:A,A204)&gt;1,1,0))</f>
        <v>1</v>
      </c>
      <c r="E204">
        <f ca="1">IF(ISBLANK(A204), "", IF(SUMIFS('Annotated Papers'!G:G, 'Annotated Papers'!A:A,A204)&gt;0,1,0))</f>
        <v>0</v>
      </c>
      <c r="F204">
        <f ca="1">IF(ISBLANK(A204), "", IF(SUMIFS('Annotated Papers'!H:H, 'Annotated Papers'!A:A,A204)&gt;0,1,0))</f>
        <v>1</v>
      </c>
      <c r="G204" t="e">
        <f ca="1">IF(ISBLANK(A204), "", IF(SUMIFS('Annotated Papers'!I:I, 'Annotated Papers'!A:A,A204)&gt;0,1,0))</f>
        <v>#NAME?</v>
      </c>
      <c r="H204">
        <f ca="1">IF(ISBLANK(A204), "", IF(SUMIFS('Annotated Papers'!L:L, 'Annotated Papers'!A:A,A204)&gt;0,1,0))</f>
        <v>0</v>
      </c>
      <c r="I204" s="24">
        <f ca="1">IF(ISBLANK(A204), "", VLOOKUP(A204,'Annotated Papers'!203:1242,4,FALSE))</f>
        <v>0</v>
      </c>
    </row>
    <row r="205" spans="1:9" ht="14">
      <c r="A205" s="26" t="str">
        <f ca="1">IFERROR(__xludf.DUMMYFUNCTION("""COMPUTED_VALUE"""),"Unsupervised Multimodal Representation Learning across Medical Images and Reports")</f>
        <v>Unsupervised Multimodal Representation Learning across Medical Images and Reports</v>
      </c>
      <c r="B205" t="str">
        <f ca="1">IF(ISBLANK(A205), "", VLOOKUP(A205,'Annotated Papers'!204:1243,2,FALSE))</f>
        <v>ML4H</v>
      </c>
      <c r="C205" s="24">
        <f ca="1">IF(ISBLANK(A205), "", VLOOKUP(A205,'Annotated Papers'!204:1243,5,FALSE))</f>
        <v>0</v>
      </c>
      <c r="D205">
        <f ca="1">IF(ISBLANK(A205), "", IF(COUNTIF('Annotated Papers'!A:A,A205)&gt;1,1,0))</f>
        <v>0</v>
      </c>
      <c r="E205">
        <f ca="1">IF(ISBLANK(A205), "", IF(SUMIFS('Annotated Papers'!G:G, 'Annotated Papers'!A:A,A205)&gt;0,1,0))</f>
        <v>1</v>
      </c>
      <c r="F205">
        <f ca="1">IF(ISBLANK(A205), "", IF(SUMIFS('Annotated Papers'!H:H, 'Annotated Papers'!A:A,A205)&gt;0,1,0))</f>
        <v>1</v>
      </c>
      <c r="G205" t="e">
        <f ca="1">IF(ISBLANK(A205), "", IF(SUMIFS('Annotated Papers'!I:I, 'Annotated Papers'!A:A,A205)&gt;0,1,0))</f>
        <v>#NAME?</v>
      </c>
      <c r="H205">
        <f ca="1">IF(ISBLANK(A205), "", IF(SUMIFS('Annotated Papers'!L:L, 'Annotated Papers'!A:A,A205)&gt;0,1,0))</f>
        <v>1</v>
      </c>
      <c r="I205" s="24">
        <f ca="1">IF(ISBLANK(A205), "", VLOOKUP(A205,'Annotated Papers'!204:1243,4,FALSE))</f>
        <v>0</v>
      </c>
    </row>
    <row r="206" spans="1:9" ht="14">
      <c r="A206" s="25" t="str">
        <f ca="1">IFERROR(__xludf.DUMMYFUNCTION("""COMPUTED_VALUE"""),"Deep Sequence Modeling for Hemorrhage Diagnosis")</f>
        <v>Deep Sequence Modeling for Hemorrhage Diagnosis</v>
      </c>
      <c r="B206" t="str">
        <f ca="1">IF(ISBLANK(A206), "", VLOOKUP(A206,'Annotated Papers'!205:1244,2,FALSE))</f>
        <v>ML4H</v>
      </c>
      <c r="C206" s="24">
        <f ca="1">IF(ISBLANK(A206), "", VLOOKUP(A206,'Annotated Papers'!205:1244,5,FALSE))</f>
        <v>0</v>
      </c>
      <c r="D206">
        <f ca="1">IF(ISBLANK(A206), "", IF(COUNTIF('Annotated Papers'!A:A,A206)&gt;1,1,0))</f>
        <v>0</v>
      </c>
      <c r="E206">
        <f ca="1">IF(ISBLANK(A206), "", IF(SUMIFS('Annotated Papers'!G:G, 'Annotated Papers'!A:A,A206)&gt;0,1,0))</f>
        <v>0</v>
      </c>
      <c r="F206">
        <f ca="1">IF(ISBLANK(A206), "", IF(SUMIFS('Annotated Papers'!H:H, 'Annotated Papers'!A:A,A206)&gt;0,1,0))</f>
        <v>0</v>
      </c>
      <c r="G206" t="e">
        <f ca="1">IF(ISBLANK(A206), "", IF(SUMIFS('Annotated Papers'!I:I, 'Annotated Papers'!A:A,A206)&gt;0,1,0))</f>
        <v>#NAME?</v>
      </c>
      <c r="H206">
        <f ca="1">IF(ISBLANK(A206), "", IF(SUMIFS('Annotated Papers'!L:L, 'Annotated Papers'!A:A,A206)&gt;0,1,0))</f>
        <v>1</v>
      </c>
      <c r="I206" s="24">
        <f ca="1">IF(ISBLANK(A206), "", VLOOKUP(A206,'Annotated Papers'!205:1244,4,FALSE))</f>
        <v>0</v>
      </c>
    </row>
    <row r="207" spans="1:9" ht="14">
      <c r="A207" s="25" t="str">
        <f ca="1">IFERROR(__xludf.DUMMYFUNCTION("""COMPUTED_VALUE"""),"Unsupervised Pseudo-Labeling for Extractive Summarization on Electronic Health Records")</f>
        <v>Unsupervised Pseudo-Labeling for Extractive Summarization on Electronic Health Records</v>
      </c>
      <c r="B207" t="str">
        <f ca="1">IF(ISBLANK(A207), "", VLOOKUP(A207,'Annotated Papers'!206:1245,2,FALSE))</f>
        <v>ML4H</v>
      </c>
      <c r="C207" s="24">
        <f ca="1">IF(ISBLANK(A207), "", VLOOKUP(A207,'Annotated Papers'!206:1245,5,FALSE))</f>
        <v>0</v>
      </c>
      <c r="D207">
        <f ca="1">IF(ISBLANK(A207), "", IF(COUNTIF('Annotated Papers'!A:A,A207)&gt;1,1,0))</f>
        <v>0</v>
      </c>
      <c r="E207">
        <f ca="1">IF(ISBLANK(A207), "", IF(SUMIFS('Annotated Papers'!G:G, 'Annotated Papers'!A:A,A207)&gt;0,1,0))</f>
        <v>1</v>
      </c>
      <c r="F207">
        <f ca="1">IF(ISBLANK(A207), "", IF(SUMIFS('Annotated Papers'!H:H, 'Annotated Papers'!A:A,A207)&gt;0,1,0))</f>
        <v>0</v>
      </c>
      <c r="G207" t="e">
        <f ca="1">IF(ISBLANK(A207), "", IF(SUMIFS('Annotated Papers'!I:I, 'Annotated Papers'!A:A,A207)&gt;0,1,0))</f>
        <v>#NAME?</v>
      </c>
      <c r="H207">
        <f ca="1">IF(ISBLANK(A207), "", IF(SUMIFS('Annotated Papers'!L:L, 'Annotated Papers'!A:A,A207)&gt;0,1,0))</f>
        <v>0</v>
      </c>
      <c r="I207" s="24">
        <f ca="1">IF(ISBLANK(A207), "", VLOOKUP(A207,'Annotated Papers'!206:1245,4,FALSE))</f>
        <v>0</v>
      </c>
    </row>
    <row r="208" spans="1:9" ht="14">
      <c r="A208" s="26" t="str">
        <f ca="1">IFERROR(__xludf.DUMMYFUNCTION("""COMPUTED_VALUE"""),"A Deep Generative Model of Vowel Formant Typology")</f>
        <v>A Deep Generative Model of Vowel Formant Typology</v>
      </c>
      <c r="B208" t="str">
        <f ca="1">IF(ISBLANK(A208), "", VLOOKUP(A208,'Annotated Papers'!207:1246,2,FALSE))</f>
        <v>NLP</v>
      </c>
      <c r="C208" s="24">
        <f ca="1">IF(ISBLANK(A208), "", VLOOKUP(A208,'Annotated Papers'!207:1246,5,FALSE))</f>
        <v>0</v>
      </c>
      <c r="D208">
        <f ca="1">IF(ISBLANK(A208), "", IF(COUNTIF('Annotated Papers'!A:A,A208)&gt;1,1,0))</f>
        <v>0</v>
      </c>
      <c r="E208">
        <f ca="1">IF(ISBLANK(A208), "", IF(SUMIFS('Annotated Papers'!G:G, 'Annotated Papers'!A:A,A208)&gt;0,1,0))</f>
        <v>0</v>
      </c>
      <c r="F208">
        <f ca="1">IF(ISBLANK(A208), "", IF(SUMIFS('Annotated Papers'!H:H, 'Annotated Papers'!A:A,A208)&gt;0,1,0))</f>
        <v>1</v>
      </c>
      <c r="G208" t="e">
        <f ca="1">IF(ISBLANK(A208), "", IF(SUMIFS('Annotated Papers'!I:I, 'Annotated Papers'!A:A,A208)&gt;0,1,0))</f>
        <v>#NAME?</v>
      </c>
      <c r="H208">
        <f ca="1">IF(ISBLANK(A208), "", IF(SUMIFS('Annotated Papers'!L:L, 'Annotated Papers'!A:A,A208)&gt;0,1,0))</f>
        <v>0</v>
      </c>
      <c r="I208" s="24">
        <f ca="1">IF(ISBLANK(A208), "", VLOOKUP(A208,'Annotated Papers'!207:1246,4,FALSE))</f>
        <v>0</v>
      </c>
    </row>
    <row r="209" spans="1:9" ht="14">
      <c r="A209" s="26" t="str">
        <f ca="1">IFERROR(__xludf.DUMMYFUNCTION("""COMPUTED_VALUE"""),"Joint Bootstrapping Machines for High Confidence Relation Extraction")</f>
        <v>Joint Bootstrapping Machines for High Confidence Relation Extraction</v>
      </c>
      <c r="B209" t="str">
        <f ca="1">IF(ISBLANK(A209), "", VLOOKUP(A209,'Annotated Papers'!208:1247,2,FALSE))</f>
        <v>NLP</v>
      </c>
      <c r="C209" s="24">
        <f ca="1">IF(ISBLANK(A209), "", VLOOKUP(A209,'Annotated Papers'!208:1247,5,FALSE))</f>
        <v>1</v>
      </c>
      <c r="D209">
        <f ca="1">IF(ISBLANK(A209), "", IF(COUNTIF('Annotated Papers'!A:A,A209)&gt;1,1,0))</f>
        <v>0</v>
      </c>
      <c r="E209">
        <f ca="1">IF(ISBLANK(A209), "", IF(SUMIFS('Annotated Papers'!G:G, 'Annotated Papers'!A:A,A209)&gt;0,1,0))</f>
        <v>0</v>
      </c>
      <c r="F209">
        <f ca="1">IF(ISBLANK(A209), "", IF(SUMIFS('Annotated Papers'!H:H, 'Annotated Papers'!A:A,A209)&gt;0,1,0))</f>
        <v>1</v>
      </c>
      <c r="G209" t="e">
        <f ca="1">IF(ISBLANK(A209), "", IF(SUMIFS('Annotated Papers'!I:I, 'Annotated Papers'!A:A,A209)&gt;0,1,0))</f>
        <v>#NAME?</v>
      </c>
      <c r="H209">
        <f ca="1">IF(ISBLANK(A209), "", IF(SUMIFS('Annotated Papers'!L:L, 'Annotated Papers'!A:A,A209)&gt;0,1,0))</f>
        <v>0</v>
      </c>
      <c r="I209" s="24">
        <f ca="1">IF(ISBLANK(A209), "", VLOOKUP(A209,'Annotated Papers'!208:1247,4,FALSE))</f>
        <v>0</v>
      </c>
    </row>
    <row r="210" spans="1:9" ht="14">
      <c r="A210" s="26" t="str">
        <f ca="1">IFERROR(__xludf.DUMMYFUNCTION("""COMPUTED_VALUE"""),"Fortification of Neural Morphological Segmentation Models for Polysynthetic Minimal-Resource Languages")</f>
        <v>Fortification of Neural Morphological Segmentation Models for Polysynthetic Minimal-Resource Languages</v>
      </c>
      <c r="B210" t="str">
        <f ca="1">IF(ISBLANK(A210), "", VLOOKUP(A210,'Annotated Papers'!209:1248,2,FALSE))</f>
        <v>NLP</v>
      </c>
      <c r="C210" s="24">
        <f ca="1">IF(ISBLANK(A210), "", VLOOKUP(A210,'Annotated Papers'!209:1248,5,FALSE))</f>
        <v>1</v>
      </c>
      <c r="D210">
        <f ca="1">IF(ISBLANK(A210), "", IF(COUNTIF('Annotated Papers'!A:A,A210)&gt;1,1,0))</f>
        <v>1</v>
      </c>
      <c r="E210">
        <f ca="1">IF(ISBLANK(A210), "", IF(SUMIFS('Annotated Papers'!G:G, 'Annotated Papers'!A:A,A210)&gt;0,1,0))</f>
        <v>0</v>
      </c>
      <c r="F210">
        <f ca="1">IF(ISBLANK(A210), "", IF(SUMIFS('Annotated Papers'!H:H, 'Annotated Papers'!A:A,A210)&gt;0,1,0))</f>
        <v>1</v>
      </c>
      <c r="G210" t="e">
        <f ca="1">IF(ISBLANK(A210), "", IF(SUMIFS('Annotated Papers'!I:I, 'Annotated Papers'!A:A,A210)&gt;0,1,0))</f>
        <v>#NAME?</v>
      </c>
      <c r="H210">
        <f ca="1">IF(ISBLANK(A210), "", IF(SUMIFS('Annotated Papers'!L:L, 'Annotated Papers'!A:A,A210)&gt;0,1,0))</f>
        <v>0</v>
      </c>
      <c r="I210" s="24">
        <f ca="1">IF(ISBLANK(A210), "", VLOOKUP(A210,'Annotated Papers'!209:1248,4,FALSE))</f>
        <v>0</v>
      </c>
    </row>
    <row r="211" spans="1:9" ht="14">
      <c r="A211" s="25" t="str">
        <f ca="1">IFERROR(__xludf.DUMMYFUNCTION("""COMPUTED_VALUE"""),"Entity-Centric Joint Modeling of Japanese Coreference Resolution and Predicate Argument Structure Analysis")</f>
        <v>Entity-Centric Joint Modeling of Japanese Coreference Resolution and Predicate Argument Structure Analysis</v>
      </c>
      <c r="B211" t="str">
        <f ca="1">IF(ISBLANK(A211), "", VLOOKUP(A211,'Annotated Papers'!210:1249,2,FALSE))</f>
        <v>NLP</v>
      </c>
      <c r="C211" s="24">
        <f ca="1">IF(ISBLANK(A211), "", VLOOKUP(A211,'Annotated Papers'!210:1249,5,FALSE))</f>
        <v>0</v>
      </c>
      <c r="D211">
        <f ca="1">IF(ISBLANK(A211), "", IF(COUNTIF('Annotated Papers'!A:A,A211)&gt;1,1,0))</f>
        <v>1</v>
      </c>
      <c r="E211">
        <f ca="1">IF(ISBLANK(A211), "", IF(SUMIFS('Annotated Papers'!G:G, 'Annotated Papers'!A:A,A211)&gt;0,1,0))</f>
        <v>0</v>
      </c>
      <c r="F211">
        <f ca="1">IF(ISBLANK(A211), "", IF(SUMIFS('Annotated Papers'!H:H, 'Annotated Papers'!A:A,A211)&gt;0,1,0))</f>
        <v>1</v>
      </c>
      <c r="G211" t="e">
        <f ca="1">IF(ISBLANK(A211), "", IF(SUMIFS('Annotated Papers'!I:I, 'Annotated Papers'!A:A,A211)&gt;0,1,0))</f>
        <v>#NAME?</v>
      </c>
      <c r="H211">
        <f ca="1">IF(ISBLANK(A211), "", IF(SUMIFS('Annotated Papers'!L:L, 'Annotated Papers'!A:A,A211)&gt;0,1,0))</f>
        <v>0</v>
      </c>
      <c r="I211" s="24">
        <f ca="1">IF(ISBLANK(A211), "", VLOOKUP(A211,'Annotated Papers'!210:1249,4,FALSE))</f>
        <v>0</v>
      </c>
    </row>
    <row r="212" spans="1:9" ht="14">
      <c r="A212" s="25" t="str">
        <f ca="1">IFERROR(__xludf.DUMMYFUNCTION("""COMPUTED_VALUE"""),"Joint Reasoning for Temporal and Causal Relations")</f>
        <v>Joint Reasoning for Temporal and Causal Relations</v>
      </c>
      <c r="B212" t="str">
        <f ca="1">IF(ISBLANK(A212), "", VLOOKUP(A212,'Annotated Papers'!211:1250,2,FALSE))</f>
        <v>NLP</v>
      </c>
      <c r="C212" s="24">
        <f ca="1">IF(ISBLANK(A212), "", VLOOKUP(A212,'Annotated Papers'!211:1250,5,FALSE))</f>
        <v>1</v>
      </c>
      <c r="D212">
        <f ca="1">IF(ISBLANK(A212), "", IF(COUNTIF('Annotated Papers'!A:A,A212)&gt;1,1,0))</f>
        <v>1</v>
      </c>
      <c r="E212">
        <f ca="1">IF(ISBLANK(A212), "", IF(SUMIFS('Annotated Papers'!G:G, 'Annotated Papers'!A:A,A212)&gt;0,1,0))</f>
        <v>0</v>
      </c>
      <c r="F212">
        <f ca="1">IF(ISBLANK(A212), "", IF(SUMIFS('Annotated Papers'!H:H, 'Annotated Papers'!A:A,A212)&gt;0,1,0))</f>
        <v>1</v>
      </c>
      <c r="G212" t="e">
        <f ca="1">IF(ISBLANK(A212), "", IF(SUMIFS('Annotated Papers'!I:I, 'Annotated Papers'!A:A,A212)&gt;0,1,0))</f>
        <v>#NAME?</v>
      </c>
      <c r="H212">
        <f ca="1">IF(ISBLANK(A212), "", IF(SUMIFS('Annotated Papers'!L:L, 'Annotated Papers'!A:A,A212)&gt;0,1,0))</f>
        <v>0</v>
      </c>
      <c r="I212" s="24">
        <f ca="1">IF(ISBLANK(A212), "", VLOOKUP(A212,'Annotated Papers'!211:1250,4,FALSE))</f>
        <v>0</v>
      </c>
    </row>
    <row r="213" spans="1:9" ht="14">
      <c r="A213" s="25" t="str">
        <f ca="1">IFERROR(__xludf.DUMMYFUNCTION("""COMPUTED_VALUE"""),"DeepPavlov: Open-Source Library for Dialogue Systems")</f>
        <v>DeepPavlov: Open-Source Library for Dialogue Systems</v>
      </c>
      <c r="B213" t="str">
        <f ca="1">IF(ISBLANK(A213), "", VLOOKUP(A213,'Annotated Papers'!212:1251,2,FALSE))</f>
        <v>NLP</v>
      </c>
      <c r="C213" s="24">
        <f ca="1">IF(ISBLANK(A213), "", VLOOKUP(A213,'Annotated Papers'!212:1251,5,FALSE))</f>
        <v>1</v>
      </c>
      <c r="D213">
        <f ca="1">IF(ISBLANK(A213), "", IF(COUNTIF('Annotated Papers'!A:A,A213)&gt;1,1,0))</f>
        <v>1</v>
      </c>
      <c r="E213">
        <f ca="1">IF(ISBLANK(A213), "", IF(SUMIFS('Annotated Papers'!G:G, 'Annotated Papers'!A:A,A213)&gt;0,1,0))</f>
        <v>0</v>
      </c>
      <c r="F213">
        <f ca="1">IF(ISBLANK(A213), "", IF(SUMIFS('Annotated Papers'!H:H, 'Annotated Papers'!A:A,A213)&gt;0,1,0))</f>
        <v>1</v>
      </c>
      <c r="G213" t="e">
        <f ca="1">IF(ISBLANK(A213), "", IF(SUMIFS('Annotated Papers'!I:I, 'Annotated Papers'!A:A,A213)&gt;0,1,0))</f>
        <v>#NAME?</v>
      </c>
      <c r="H213">
        <f ca="1">IF(ISBLANK(A213), "", IF(SUMIFS('Annotated Papers'!L:L, 'Annotated Papers'!A:A,A213)&gt;0,1,0))</f>
        <v>1</v>
      </c>
      <c r="I213" s="24">
        <f ca="1">IF(ISBLANK(A213), "", VLOOKUP(A213,'Annotated Papers'!212:1251,4,FALSE))</f>
        <v>0</v>
      </c>
    </row>
    <row r="214" spans="1:9" ht="14">
      <c r="A214" s="26" t="str">
        <f ca="1">IFERROR(__xludf.DUMMYFUNCTION("""COMPUTED_VALUE"""),"Compare, Compress and Propagate: Enhancing Neural Architectures with Alignment Factorization for Natural Language Inference")</f>
        <v>Compare, Compress and Propagate: Enhancing Neural Architectures with Alignment Factorization for Natural Language Inference</v>
      </c>
      <c r="B214" t="str">
        <f ca="1">IF(ISBLANK(A214), "", VLOOKUP(A214,'Annotated Papers'!213:1252,2,FALSE))</f>
        <v>NLP</v>
      </c>
      <c r="C214" s="24">
        <f ca="1">IF(ISBLANK(A214), "", VLOOKUP(A214,'Annotated Papers'!213:1252,5,FALSE))</f>
        <v>0</v>
      </c>
      <c r="D214">
        <f ca="1">IF(ISBLANK(A214), "", IF(COUNTIF('Annotated Papers'!A:A,A214)&gt;1,1,0))</f>
        <v>1</v>
      </c>
      <c r="E214">
        <f ca="1">IF(ISBLANK(A214), "", IF(SUMIFS('Annotated Papers'!G:G, 'Annotated Papers'!A:A,A214)&gt;0,1,0))</f>
        <v>0</v>
      </c>
      <c r="F214">
        <f ca="1">IF(ISBLANK(A214), "", IF(SUMIFS('Annotated Papers'!H:H, 'Annotated Papers'!A:A,A214)&gt;0,1,0))</f>
        <v>1</v>
      </c>
      <c r="G214" t="e">
        <f ca="1">IF(ISBLANK(A214), "", IF(SUMIFS('Annotated Papers'!I:I, 'Annotated Papers'!A:A,A214)&gt;0,1,0))</f>
        <v>#NAME?</v>
      </c>
      <c r="H214">
        <f ca="1">IF(ISBLANK(A214), "", IF(SUMIFS('Annotated Papers'!L:L, 'Annotated Papers'!A:A,A214)&gt;0,1,0))</f>
        <v>0</v>
      </c>
      <c r="I214" s="24">
        <f ca="1">IF(ISBLANK(A214), "", VLOOKUP(A214,'Annotated Papers'!213:1252,4,FALSE))</f>
        <v>0</v>
      </c>
    </row>
    <row r="215" spans="1:9" ht="14">
      <c r="A215" s="26" t="str">
        <f ca="1">IFERROR(__xludf.DUMMYFUNCTION("""COMPUTED_VALUE"""),"Semantic Linking in Convolutional Neural Networks for Answer Sentence Selection")</f>
        <v>Semantic Linking in Convolutional Neural Networks for Answer Sentence Selection</v>
      </c>
      <c r="B215" t="str">
        <f ca="1">IF(ISBLANK(A215), "", VLOOKUP(A215,'Annotated Papers'!214:1253,2,FALSE))</f>
        <v>NLP</v>
      </c>
      <c r="C215" s="24">
        <f ca="1">IF(ISBLANK(A215), "", VLOOKUP(A215,'Annotated Papers'!214:1253,5,FALSE))</f>
        <v>0</v>
      </c>
      <c r="D215">
        <f ca="1">IF(ISBLANK(A215), "", IF(COUNTIF('Annotated Papers'!A:A,A215)&gt;1,1,0))</f>
        <v>1</v>
      </c>
      <c r="E215">
        <f ca="1">IF(ISBLANK(A215), "", IF(SUMIFS('Annotated Papers'!G:G, 'Annotated Papers'!A:A,A215)&gt;0,1,0))</f>
        <v>0</v>
      </c>
      <c r="F215">
        <f ca="1">IF(ISBLANK(A215), "", IF(SUMIFS('Annotated Papers'!H:H, 'Annotated Papers'!A:A,A215)&gt;0,1,0))</f>
        <v>1</v>
      </c>
      <c r="G215" t="e">
        <f ca="1">IF(ISBLANK(A215), "", IF(SUMIFS('Annotated Papers'!I:I, 'Annotated Papers'!A:A,A215)&gt;0,1,0))</f>
        <v>#NAME?</v>
      </c>
      <c r="H215">
        <f ca="1">IF(ISBLANK(A215), "", IF(SUMIFS('Annotated Papers'!L:L, 'Annotated Papers'!A:A,A215)&gt;0,1,0))</f>
        <v>1</v>
      </c>
      <c r="I215" s="24">
        <f ca="1">IF(ISBLANK(A215), "", VLOOKUP(A215,'Annotated Papers'!214:1253,4,FALSE))</f>
        <v>0</v>
      </c>
    </row>
    <row r="216" spans="1:9" ht="14">
      <c r="A216" s="26" t="str">
        <f ca="1">IFERROR(__xludf.DUMMYFUNCTION("""COMPUTED_VALUE"""),"A Neural Local Coherence Model for Text Quality Assessment")</f>
        <v>A Neural Local Coherence Model for Text Quality Assessment</v>
      </c>
      <c r="B216" t="str">
        <f ca="1">IF(ISBLANK(A216), "", VLOOKUP(A216,'Annotated Papers'!215:1254,2,FALSE))</f>
        <v>NLP</v>
      </c>
      <c r="C216" s="24">
        <f ca="1">IF(ISBLANK(A216), "", VLOOKUP(A216,'Annotated Papers'!215:1254,5,FALSE))</f>
        <v>0</v>
      </c>
      <c r="D216">
        <f ca="1">IF(ISBLANK(A216), "", IF(COUNTIF('Annotated Papers'!A:A,A216)&gt;1,1,0))</f>
        <v>1</v>
      </c>
      <c r="E216">
        <f ca="1">IF(ISBLANK(A216), "", IF(SUMIFS('Annotated Papers'!G:G, 'Annotated Papers'!A:A,A216)&gt;0,1,0))</f>
        <v>0</v>
      </c>
      <c r="F216">
        <f ca="1">IF(ISBLANK(A216), "", IF(SUMIFS('Annotated Papers'!H:H, 'Annotated Papers'!A:A,A216)&gt;0,1,0))</f>
        <v>1</v>
      </c>
      <c r="G216" t="e">
        <f ca="1">IF(ISBLANK(A216), "", IF(SUMIFS('Annotated Papers'!I:I, 'Annotated Papers'!A:A,A216)&gt;0,1,0))</f>
        <v>#NAME?</v>
      </c>
      <c r="H216">
        <f ca="1">IF(ISBLANK(A216), "", IF(SUMIFS('Annotated Papers'!L:L, 'Annotated Papers'!A:A,A216)&gt;0,1,0))</f>
        <v>1</v>
      </c>
      <c r="I216" s="24">
        <f ca="1">IF(ISBLANK(A216), "", VLOOKUP(A216,'Annotated Papers'!215:1254,4,FALSE))</f>
        <v>0</v>
      </c>
    </row>
    <row r="217" spans="1:9" ht="14">
      <c r="A217" s="26" t="str">
        <f ca="1">IFERROR(__xludf.DUMMYFUNCTION("""COMPUTED_VALUE"""),"Improving Character-based Decoding Using Target-Side Morphological Information for Neural Machine Translation")</f>
        <v>Improving Character-based Decoding Using Target-Side Morphological Information for Neural Machine Translation</v>
      </c>
      <c r="B217" t="str">
        <f ca="1">IF(ISBLANK(A217), "", VLOOKUP(A217,'Annotated Papers'!216:1255,2,FALSE))</f>
        <v>NLP</v>
      </c>
      <c r="C217" s="24">
        <f ca="1">IF(ISBLANK(A217), "", VLOOKUP(A217,'Annotated Papers'!216:1255,5,FALSE))</f>
        <v>0</v>
      </c>
      <c r="D217">
        <f ca="1">IF(ISBLANK(A217), "", IF(COUNTIF('Annotated Papers'!A:A,A217)&gt;1,1,0))</f>
        <v>1</v>
      </c>
      <c r="E217">
        <f ca="1">IF(ISBLANK(A217), "", IF(SUMIFS('Annotated Papers'!G:G, 'Annotated Papers'!A:A,A217)&gt;0,1,0))</f>
        <v>0</v>
      </c>
      <c r="F217">
        <f ca="1">IF(ISBLANK(A217), "", IF(SUMIFS('Annotated Papers'!H:H, 'Annotated Papers'!A:A,A217)&gt;0,1,0))</f>
        <v>1</v>
      </c>
      <c r="G217" t="e">
        <f ca="1">IF(ISBLANK(A217), "", IF(SUMIFS('Annotated Papers'!I:I, 'Annotated Papers'!A:A,A217)&gt;0,1,0))</f>
        <v>#NAME?</v>
      </c>
      <c r="H217">
        <f ca="1">IF(ISBLANK(A217), "", IF(SUMIFS('Annotated Papers'!L:L, 'Annotated Papers'!A:A,A217)&gt;0,1,0))</f>
        <v>0</v>
      </c>
      <c r="I217" s="24">
        <f ca="1">IF(ISBLANK(A217), "", VLOOKUP(A217,'Annotated Papers'!216:1255,4,FALSE))</f>
        <v>0</v>
      </c>
    </row>
    <row r="218" spans="1:9" ht="14">
      <c r="A218" s="26" t="str">
        <f ca="1">IFERROR(__xludf.DUMMYFUNCTION("""COMPUTED_VALUE"""),"Parsing Speech: A Neural Approach to Integrating Lexical and Acoustic-Prosodic Information")</f>
        <v>Parsing Speech: A Neural Approach to Integrating Lexical and Acoustic-Prosodic Information</v>
      </c>
      <c r="B218" t="str">
        <f ca="1">IF(ISBLANK(A218), "", VLOOKUP(A218,'Annotated Papers'!217:1256,2,FALSE))</f>
        <v>NLP</v>
      </c>
      <c r="C218" s="24">
        <f ca="1">IF(ISBLANK(A218), "", VLOOKUP(A218,'Annotated Papers'!217:1256,5,FALSE))</f>
        <v>1</v>
      </c>
      <c r="D218">
        <f ca="1">IF(ISBLANK(A218), "", IF(COUNTIF('Annotated Papers'!A:A,A218)&gt;1,1,0))</f>
        <v>1</v>
      </c>
      <c r="E218">
        <f ca="1">IF(ISBLANK(A218), "", IF(SUMIFS('Annotated Papers'!G:G, 'Annotated Papers'!A:A,A218)&gt;0,1,0))</f>
        <v>0</v>
      </c>
      <c r="F218">
        <f ca="1">IF(ISBLANK(A218), "", IF(SUMIFS('Annotated Papers'!H:H, 'Annotated Papers'!A:A,A218)&gt;0,1,0))</f>
        <v>1</v>
      </c>
      <c r="G218" t="e">
        <f ca="1">IF(ISBLANK(A218), "", IF(SUMIFS('Annotated Papers'!I:I, 'Annotated Papers'!A:A,A218)&gt;0,1,0))</f>
        <v>#NAME?</v>
      </c>
      <c r="H218">
        <f ca="1">IF(ISBLANK(A218), "", IF(SUMIFS('Annotated Papers'!L:L, 'Annotated Papers'!A:A,A218)&gt;0,1,0))</f>
        <v>1</v>
      </c>
      <c r="I218" s="24">
        <f ca="1">IF(ISBLANK(A218), "", VLOOKUP(A218,'Annotated Papers'!217:1256,4,FALSE))</f>
        <v>0</v>
      </c>
    </row>
    <row r="219" spans="1:9" ht="14">
      <c r="A219" s="26" t="str">
        <f ca="1">IFERROR(__xludf.DUMMYFUNCTION("""COMPUTED_VALUE"""),"Tied Multitask Learning for Neural Speech Translation")</f>
        <v>Tied Multitask Learning for Neural Speech Translation</v>
      </c>
      <c r="B219" t="str">
        <f ca="1">IF(ISBLANK(A219), "", VLOOKUP(A219,'Annotated Papers'!218:1257,2,FALSE))</f>
        <v>NLP</v>
      </c>
      <c r="C219" s="24">
        <f ca="1">IF(ISBLANK(A219), "", VLOOKUP(A219,'Annotated Papers'!218:1257,5,FALSE))</f>
        <v>1</v>
      </c>
      <c r="D219">
        <f ca="1">IF(ISBLANK(A219), "", IF(COUNTIF('Annotated Papers'!A:A,A219)&gt;1,1,0))</f>
        <v>1</v>
      </c>
      <c r="E219">
        <f ca="1">IF(ISBLANK(A219), "", IF(SUMIFS('Annotated Papers'!G:G, 'Annotated Papers'!A:A,A219)&gt;0,1,0))</f>
        <v>0</v>
      </c>
      <c r="F219">
        <f ca="1">IF(ISBLANK(A219), "", IF(SUMIFS('Annotated Papers'!H:H, 'Annotated Papers'!A:A,A219)&gt;0,1,0))</f>
        <v>1</v>
      </c>
      <c r="G219" t="e">
        <f ca="1">IF(ISBLANK(A219), "", IF(SUMIFS('Annotated Papers'!I:I, 'Annotated Papers'!A:A,A219)&gt;0,1,0))</f>
        <v>#NAME?</v>
      </c>
      <c r="H219">
        <f ca="1">IF(ISBLANK(A219), "", IF(SUMIFS('Annotated Papers'!L:L, 'Annotated Papers'!A:A,A219)&gt;0,1,0))</f>
        <v>0</v>
      </c>
      <c r="I219" s="24">
        <f ca="1">IF(ISBLANK(A219), "", VLOOKUP(A219,'Annotated Papers'!218:1257,4,FALSE))</f>
        <v>0</v>
      </c>
    </row>
    <row r="220" spans="1:9" ht="14">
      <c r="A220" s="26" t="str">
        <f ca="1">IFERROR(__xludf.DUMMYFUNCTION("""COMPUTED_VALUE"""),"Neural Transductive Learning and Beyond: Morphological Generation in the Minimal-Resource Setting")</f>
        <v>Neural Transductive Learning and Beyond: Morphological Generation in the Minimal-Resource Setting</v>
      </c>
      <c r="B220" t="str">
        <f ca="1">IF(ISBLANK(A220), "", VLOOKUP(A220,'Annotated Papers'!219:1258,2,FALSE))</f>
        <v>NLP</v>
      </c>
      <c r="C220" s="24">
        <f ca="1">IF(ISBLANK(A220), "", VLOOKUP(A220,'Annotated Papers'!219:1258,5,FALSE))</f>
        <v>0</v>
      </c>
      <c r="D220">
        <f ca="1">IF(ISBLANK(A220), "", IF(COUNTIF('Annotated Papers'!A:A,A220)&gt;1,1,0))</f>
        <v>0</v>
      </c>
      <c r="E220">
        <f ca="1">IF(ISBLANK(A220), "", IF(SUMIFS('Annotated Papers'!G:G, 'Annotated Papers'!A:A,A220)&gt;0,1,0))</f>
        <v>0</v>
      </c>
      <c r="F220">
        <f ca="1">IF(ISBLANK(A220), "", IF(SUMIFS('Annotated Papers'!H:H, 'Annotated Papers'!A:A,A220)&gt;0,1,0))</f>
        <v>1</v>
      </c>
      <c r="G220" t="e">
        <f ca="1">IF(ISBLANK(A220), "", IF(SUMIFS('Annotated Papers'!I:I, 'Annotated Papers'!A:A,A220)&gt;0,1,0))</f>
        <v>#NAME?</v>
      </c>
      <c r="H220">
        <f ca="1">IF(ISBLANK(A220), "", IF(SUMIFS('Annotated Papers'!L:L, 'Annotated Papers'!A:A,A220)&gt;0,1,0))</f>
        <v>0</v>
      </c>
      <c r="I220" s="24">
        <f ca="1">IF(ISBLANK(A220), "", VLOOKUP(A220,'Annotated Papers'!219:1258,4,FALSE))</f>
        <v>0</v>
      </c>
    </row>
    <row r="221" spans="1:9" ht="14">
      <c r="A221" s="26" t="str">
        <f ca="1">IFERROR(__xludf.DUMMYFUNCTION("""COMPUTED_VALUE"""),"Automatic Essay Scoring Incorporating Rating Schema via Reinforcement Learning")</f>
        <v>Automatic Essay Scoring Incorporating Rating Schema via Reinforcement Learning</v>
      </c>
      <c r="B221" t="str">
        <f ca="1">IF(ISBLANK(A221), "", VLOOKUP(A221,'Annotated Papers'!220:1259,2,FALSE))</f>
        <v>NLP</v>
      </c>
      <c r="C221" s="24">
        <f ca="1">IF(ISBLANK(A221), "", VLOOKUP(A221,'Annotated Papers'!220:1259,5,FALSE))</f>
        <v>0</v>
      </c>
      <c r="D221">
        <f ca="1">IF(ISBLANK(A221), "", IF(COUNTIF('Annotated Papers'!A:A,A221)&gt;1,1,0))</f>
        <v>0</v>
      </c>
      <c r="E221">
        <f ca="1">IF(ISBLANK(A221), "", IF(SUMIFS('Annotated Papers'!G:G, 'Annotated Papers'!A:A,A221)&gt;0,1,0))</f>
        <v>0</v>
      </c>
      <c r="F221">
        <f ca="1">IF(ISBLANK(A221), "", IF(SUMIFS('Annotated Papers'!H:H, 'Annotated Papers'!A:A,A221)&gt;0,1,0))</f>
        <v>1</v>
      </c>
      <c r="G221" t="e">
        <f ca="1">IF(ISBLANK(A221), "", IF(SUMIFS('Annotated Papers'!I:I, 'Annotated Papers'!A:A,A221)&gt;0,1,0))</f>
        <v>#NAME?</v>
      </c>
      <c r="H221">
        <f ca="1">IF(ISBLANK(A221), "", IF(SUMIFS('Annotated Papers'!L:L, 'Annotated Papers'!A:A,A221)&gt;0,1,0))</f>
        <v>0</v>
      </c>
      <c r="I221" s="24">
        <f ca="1">IF(ISBLANK(A221), "", VLOOKUP(A221,'Annotated Papers'!220:1259,4,FALSE))</f>
        <v>0</v>
      </c>
    </row>
    <row r="222" spans="1:9" ht="14">
      <c r="A222" s="26" t="str">
        <f ca="1">IFERROR(__xludf.DUMMYFUNCTION("""COMPUTED_VALUE"""),"Classifying Referential and Non-referential It Using Gaze")</f>
        <v>Classifying Referential and Non-referential It Using Gaze</v>
      </c>
      <c r="B222" t="str">
        <f ca="1">IF(ISBLANK(A222), "", VLOOKUP(A222,'Annotated Papers'!221:1260,2,FALSE))</f>
        <v>NLP</v>
      </c>
      <c r="C222" s="24">
        <f ca="1">IF(ISBLANK(A222), "", VLOOKUP(A222,'Annotated Papers'!221:1260,5,FALSE))</f>
        <v>1</v>
      </c>
      <c r="D222">
        <f ca="1">IF(ISBLANK(A222), "", IF(COUNTIF('Annotated Papers'!A:A,A222)&gt;1,1,0))</f>
        <v>0</v>
      </c>
      <c r="E222">
        <f ca="1">IF(ISBLANK(A222), "", IF(SUMIFS('Annotated Papers'!G:G, 'Annotated Papers'!A:A,A222)&gt;0,1,0))</f>
        <v>0</v>
      </c>
      <c r="F222">
        <f ca="1">IF(ISBLANK(A222), "", IF(SUMIFS('Annotated Papers'!H:H, 'Annotated Papers'!A:A,A222)&gt;0,1,0))</f>
        <v>1</v>
      </c>
      <c r="G222" t="e">
        <f ca="1">IF(ISBLANK(A222), "", IF(SUMIFS('Annotated Papers'!I:I, 'Annotated Papers'!A:A,A222)&gt;0,1,0))</f>
        <v>#NAME?</v>
      </c>
      <c r="H222">
        <f ca="1">IF(ISBLANK(A222), "", IF(SUMIFS('Annotated Papers'!L:L, 'Annotated Papers'!A:A,A222)&gt;0,1,0))</f>
        <v>0</v>
      </c>
      <c r="I222" s="24">
        <f ca="1">IF(ISBLANK(A222), "", VLOOKUP(A222,'Annotated Papers'!221:1260,4,FALSE))</f>
        <v>0</v>
      </c>
    </row>
    <row r="223" spans="1:9" ht="14">
      <c r="A223" s="26" t="str">
        <f ca="1">IFERROR(__xludf.DUMMYFUNCTION("""COMPUTED_VALUE"""),"Trick Me If You Can: Adversarial Writing of Trivia Challenge Questions")</f>
        <v>Trick Me If You Can: Adversarial Writing of Trivia Challenge Questions</v>
      </c>
      <c r="B223" t="str">
        <f ca="1">IF(ISBLANK(A223), "", VLOOKUP(A223,'Annotated Papers'!222:1261,2,FALSE))</f>
        <v>NLP</v>
      </c>
      <c r="C223" s="24">
        <f ca="1">IF(ISBLANK(A223), "", VLOOKUP(A223,'Annotated Papers'!222:1261,5,FALSE))</f>
        <v>0</v>
      </c>
      <c r="D223">
        <f ca="1">IF(ISBLANK(A223), "", IF(COUNTIF('Annotated Papers'!A:A,A223)&gt;1,1,0))</f>
        <v>1</v>
      </c>
      <c r="E223">
        <f ca="1">IF(ISBLANK(A223), "", IF(SUMIFS('Annotated Papers'!G:G, 'Annotated Papers'!A:A,A223)&gt;0,1,0))</f>
        <v>0</v>
      </c>
      <c r="F223">
        <f ca="1">IF(ISBLANK(A223), "", IF(SUMIFS('Annotated Papers'!H:H, 'Annotated Papers'!A:A,A223)&gt;0,1,0))</f>
        <v>1</v>
      </c>
      <c r="G223" t="e">
        <f ca="1">IF(ISBLANK(A223), "", IF(SUMIFS('Annotated Papers'!I:I, 'Annotated Papers'!A:A,A223)&gt;0,1,0))</f>
        <v>#NAME?</v>
      </c>
      <c r="H223">
        <f ca="1">IF(ISBLANK(A223), "", IF(SUMIFS('Annotated Papers'!L:L, 'Annotated Papers'!A:A,A223)&gt;0,1,0))</f>
        <v>0</v>
      </c>
      <c r="I223" s="24">
        <f ca="1">IF(ISBLANK(A223), "", VLOOKUP(A223,'Annotated Papers'!222:1261,4,FALSE))</f>
        <v>0</v>
      </c>
    </row>
    <row r="224" spans="1:9" ht="14">
      <c r="A224" s="26" t="str">
        <f ca="1">IFERROR(__xludf.DUMMYFUNCTION("""COMPUTED_VALUE"""),"Reinforced Extractive Summarization with Question-Focused Rewards")</f>
        <v>Reinforced Extractive Summarization with Question-Focused Rewards</v>
      </c>
      <c r="B224" t="str">
        <f ca="1">IF(ISBLANK(A224), "", VLOOKUP(A224,'Annotated Papers'!223:1262,2,FALSE))</f>
        <v>NLP</v>
      </c>
      <c r="C224" s="24">
        <f ca="1">IF(ISBLANK(A224), "", VLOOKUP(A224,'Annotated Papers'!223:1262,5,FALSE))</f>
        <v>0</v>
      </c>
      <c r="D224">
        <f ca="1">IF(ISBLANK(A224), "", IF(COUNTIF('Annotated Papers'!A:A,A224)&gt;1,1,0))</f>
        <v>0</v>
      </c>
      <c r="E224">
        <f ca="1">IF(ISBLANK(A224), "", IF(SUMIFS('Annotated Papers'!G:G, 'Annotated Papers'!A:A,A224)&gt;0,1,0))</f>
        <v>0</v>
      </c>
      <c r="F224">
        <f ca="1">IF(ISBLANK(A224), "", IF(SUMIFS('Annotated Papers'!H:H, 'Annotated Papers'!A:A,A224)&gt;0,1,0))</f>
        <v>1</v>
      </c>
      <c r="G224" t="e">
        <f ca="1">IF(ISBLANK(A224), "", IF(SUMIFS('Annotated Papers'!I:I, 'Annotated Papers'!A:A,A224)&gt;0,1,0))</f>
        <v>#NAME?</v>
      </c>
      <c r="H224">
        <f ca="1">IF(ISBLANK(A224), "", IF(SUMIFS('Annotated Papers'!L:L, 'Annotated Papers'!A:A,A224)&gt;0,1,0))</f>
        <v>0</v>
      </c>
      <c r="I224" s="24">
        <f ca="1">IF(ISBLANK(A224), "", VLOOKUP(A224,'Annotated Papers'!223:1262,4,FALSE))</f>
        <v>0</v>
      </c>
    </row>
    <row r="225" spans="1:9" ht="14">
      <c r="A225" s="26" t="str">
        <f ca="1">IFERROR(__xludf.DUMMYFUNCTION("""COMPUTED_VALUE"""),"End-to-End Reinforcement Learning for Automatic Taxonomy Induction")</f>
        <v>End-to-End Reinforcement Learning for Automatic Taxonomy Induction</v>
      </c>
      <c r="B225" t="str">
        <f ca="1">IF(ISBLANK(A225), "", VLOOKUP(A225,'Annotated Papers'!224:1263,2,FALSE))</f>
        <v>NLP</v>
      </c>
      <c r="C225" s="24">
        <f ca="1">IF(ISBLANK(A225), "", VLOOKUP(A225,'Annotated Papers'!224:1263,5,FALSE))</f>
        <v>1</v>
      </c>
      <c r="D225">
        <f ca="1">IF(ISBLANK(A225), "", IF(COUNTIF('Annotated Papers'!A:A,A225)&gt;1,1,0))</f>
        <v>1</v>
      </c>
      <c r="E225">
        <f ca="1">IF(ISBLANK(A225), "", IF(SUMIFS('Annotated Papers'!G:G, 'Annotated Papers'!A:A,A225)&gt;0,1,0))</f>
        <v>0</v>
      </c>
      <c r="F225">
        <f ca="1">IF(ISBLANK(A225), "", IF(SUMIFS('Annotated Papers'!H:H, 'Annotated Papers'!A:A,A225)&gt;0,1,0))</f>
        <v>1</v>
      </c>
      <c r="G225" t="e">
        <f ca="1">IF(ISBLANK(A225), "", IF(SUMIFS('Annotated Papers'!I:I, 'Annotated Papers'!A:A,A225)&gt;0,1,0))</f>
        <v>#NAME?</v>
      </c>
      <c r="H225">
        <f ca="1">IF(ISBLANK(A225), "", IF(SUMIFS('Annotated Papers'!L:L, 'Annotated Papers'!A:A,A225)&gt;0,1,0))</f>
        <v>0</v>
      </c>
      <c r="I225" s="24">
        <f ca="1">IF(ISBLANK(A225), "", VLOOKUP(A225,'Annotated Papers'!224:1263,4,FALSE))</f>
        <v>0</v>
      </c>
    </row>
    <row r="226" spans="1:9" ht="14">
      <c r="A226" s="26" t="str">
        <f ca="1">IFERROR(__xludf.DUMMYFUNCTION("""COMPUTED_VALUE"""),"A Genre-Aware Attention Model to Improve the Likability Prediction of Books")</f>
        <v>A Genre-Aware Attention Model to Improve the Likability Prediction of Books</v>
      </c>
      <c r="B226" t="str">
        <f ca="1">IF(ISBLANK(A226), "", VLOOKUP(A226,'Annotated Papers'!225:1264,2,FALSE))</f>
        <v>NLP</v>
      </c>
      <c r="C226" s="24">
        <f ca="1">IF(ISBLANK(A226), "", VLOOKUP(A226,'Annotated Papers'!225:1264,5,FALSE))</f>
        <v>1</v>
      </c>
      <c r="D226">
        <f ca="1">IF(ISBLANK(A226), "", IF(COUNTIF('Annotated Papers'!A:A,A226)&gt;1,1,0))</f>
        <v>1</v>
      </c>
      <c r="E226">
        <f ca="1">IF(ISBLANK(A226), "", IF(SUMIFS('Annotated Papers'!G:G, 'Annotated Papers'!A:A,A226)&gt;0,1,0))</f>
        <v>0</v>
      </c>
      <c r="F226">
        <f ca="1">IF(ISBLANK(A226), "", IF(SUMIFS('Annotated Papers'!H:H, 'Annotated Papers'!A:A,A226)&gt;0,1,0))</f>
        <v>1</v>
      </c>
      <c r="G226" t="e">
        <f ca="1">IF(ISBLANK(A226), "", IF(SUMIFS('Annotated Papers'!I:I, 'Annotated Papers'!A:A,A226)&gt;0,1,0))</f>
        <v>#NAME?</v>
      </c>
      <c r="H226">
        <f ca="1">IF(ISBLANK(A226), "", IF(SUMIFS('Annotated Papers'!L:L, 'Annotated Papers'!A:A,A226)&gt;0,1,0))</f>
        <v>0</v>
      </c>
      <c r="I226" s="24">
        <f ca="1">IF(ISBLANK(A226), "", VLOOKUP(A226,'Annotated Papers'!225:1264,4,FALSE))</f>
        <v>0</v>
      </c>
    </row>
    <row r="227" spans="1:9" ht="14">
      <c r="A227" s="26" t="str">
        <f ca="1">IFERROR(__xludf.DUMMYFUNCTION("""COMPUTED_VALUE"""),"Rapid Adaptation of Neural Machine Translation to New Languages")</f>
        <v>Rapid Adaptation of Neural Machine Translation to New Languages</v>
      </c>
      <c r="B227" t="str">
        <f ca="1">IF(ISBLANK(A227), "", VLOOKUP(A227,'Annotated Papers'!226:1265,2,FALSE))</f>
        <v>NLP</v>
      </c>
      <c r="C227" s="24">
        <f ca="1">IF(ISBLANK(A227), "", VLOOKUP(A227,'Annotated Papers'!226:1265,5,FALSE))</f>
        <v>1</v>
      </c>
      <c r="D227">
        <f ca="1">IF(ISBLANK(A227), "", IF(COUNTIF('Annotated Papers'!A:A,A227)&gt;1,1,0))</f>
        <v>0</v>
      </c>
      <c r="E227">
        <f ca="1">IF(ISBLANK(A227), "", IF(SUMIFS('Annotated Papers'!G:G, 'Annotated Papers'!A:A,A227)&gt;0,1,0))</f>
        <v>0</v>
      </c>
      <c r="F227">
        <f ca="1">IF(ISBLANK(A227), "", IF(SUMIFS('Annotated Papers'!H:H, 'Annotated Papers'!A:A,A227)&gt;0,1,0))</f>
        <v>1</v>
      </c>
      <c r="G227" t="e">
        <f ca="1">IF(ISBLANK(A227), "", IF(SUMIFS('Annotated Papers'!I:I, 'Annotated Papers'!A:A,A227)&gt;0,1,0))</f>
        <v>#NAME?</v>
      </c>
      <c r="H227">
        <f ca="1">IF(ISBLANK(A227), "", IF(SUMIFS('Annotated Papers'!L:L, 'Annotated Papers'!A:A,A227)&gt;0,1,0))</f>
        <v>0</v>
      </c>
      <c r="I227" s="24">
        <f ca="1">IF(ISBLANK(A227), "", VLOOKUP(A227,'Annotated Papers'!226:1265,4,FALSE))</f>
        <v>0</v>
      </c>
    </row>
    <row r="228" spans="1:9" ht="14">
      <c r="A228" s="26" t="str">
        <f ca="1">IFERROR(__xludf.DUMMYFUNCTION("""COMPUTED_VALUE"""),"Large-scale Exploration of Neural Relation Classification Architectures")</f>
        <v>Large-scale Exploration of Neural Relation Classification Architectures</v>
      </c>
      <c r="B228" t="str">
        <f ca="1">IF(ISBLANK(A228), "", VLOOKUP(A228,'Annotated Papers'!227:1266,2,FALSE))</f>
        <v>NLP</v>
      </c>
      <c r="C228" s="24">
        <f ca="1">IF(ISBLANK(A228), "", VLOOKUP(A228,'Annotated Papers'!227:1266,5,FALSE))</f>
        <v>1</v>
      </c>
      <c r="D228">
        <f ca="1">IF(ISBLANK(A228), "", IF(COUNTIF('Annotated Papers'!A:A,A228)&gt;1,1,0))</f>
        <v>1</v>
      </c>
      <c r="E228">
        <f ca="1">IF(ISBLANK(A228), "", IF(SUMIFS('Annotated Papers'!G:G, 'Annotated Papers'!A:A,A228)&gt;0,1,0))</f>
        <v>0</v>
      </c>
      <c r="F228">
        <f ca="1">IF(ISBLANK(A228), "", IF(SUMIFS('Annotated Papers'!H:H, 'Annotated Papers'!A:A,A228)&gt;0,1,0))</f>
        <v>1</v>
      </c>
      <c r="G228" t="e">
        <f ca="1">IF(ISBLANK(A228), "", IF(SUMIFS('Annotated Papers'!I:I, 'Annotated Papers'!A:A,A228)&gt;0,1,0))</f>
        <v>#NAME?</v>
      </c>
      <c r="H228">
        <f ca="1">IF(ISBLANK(A228), "", IF(SUMIFS('Annotated Papers'!L:L, 'Annotated Papers'!A:A,A228)&gt;0,1,0))</f>
        <v>1</v>
      </c>
      <c r="I228" s="24">
        <f ca="1">IF(ISBLANK(A228), "", VLOOKUP(A228,'Annotated Papers'!227:1266,4,FALSE))</f>
        <v>0</v>
      </c>
    </row>
    <row r="229" spans="1:9" ht="14">
      <c r="A229" s="26" t="str">
        <f ca="1">IFERROR(__xludf.DUMMYFUNCTION("""COMPUTED_VALUE"""),"Stochastic Answer Networks for Machine Reading Comprehension")</f>
        <v>Stochastic Answer Networks for Machine Reading Comprehension</v>
      </c>
      <c r="B229" t="str">
        <f ca="1">IF(ISBLANK(A229), "", VLOOKUP(A229,'Annotated Papers'!228:1267,2,FALSE))</f>
        <v>NLP</v>
      </c>
      <c r="C229" s="24">
        <f ca="1">IF(ISBLANK(A229), "", VLOOKUP(A229,'Annotated Papers'!228:1267,5,FALSE))</f>
        <v>0</v>
      </c>
      <c r="D229">
        <f ca="1">IF(ISBLANK(A229), "", IF(COUNTIF('Annotated Papers'!A:A,A229)&gt;1,1,0))</f>
        <v>1</v>
      </c>
      <c r="E229">
        <f ca="1">IF(ISBLANK(A229), "", IF(SUMIFS('Annotated Papers'!G:G, 'Annotated Papers'!A:A,A229)&gt;0,1,0))</f>
        <v>0</v>
      </c>
      <c r="F229">
        <f ca="1">IF(ISBLANK(A229), "", IF(SUMIFS('Annotated Papers'!H:H, 'Annotated Papers'!A:A,A229)&gt;0,1,0))</f>
        <v>1</v>
      </c>
      <c r="G229" t="e">
        <f ca="1">IF(ISBLANK(A229), "", IF(SUMIFS('Annotated Papers'!I:I, 'Annotated Papers'!A:A,A229)&gt;0,1,0))</f>
        <v>#NAME?</v>
      </c>
      <c r="H229">
        <f ca="1">IF(ISBLANK(A229), "", IF(SUMIFS('Annotated Papers'!L:L, 'Annotated Papers'!A:A,A229)&gt;0,1,0))</f>
        <v>0</v>
      </c>
      <c r="I229" s="24">
        <f ca="1">IF(ISBLANK(A229), "", VLOOKUP(A229,'Annotated Papers'!228:1267,4,FALSE))</f>
        <v>0</v>
      </c>
    </row>
    <row r="230" spans="1:9" ht="14">
      <c r="A230" s="26" t="str">
        <f ca="1">IFERROR(__xludf.DUMMYFUNCTION("""COMPUTED_VALUE"""),"Sense-Aware Neural Models for Pun Location in Texts")</f>
        <v>Sense-Aware Neural Models for Pun Location in Texts</v>
      </c>
      <c r="B230" t="str">
        <f ca="1">IF(ISBLANK(A230), "", VLOOKUP(A230,'Annotated Papers'!229:1268,2,FALSE))</f>
        <v>NLP</v>
      </c>
      <c r="C230" s="24">
        <f ca="1">IF(ISBLANK(A230), "", VLOOKUP(A230,'Annotated Papers'!229:1268,5,FALSE))</f>
        <v>0</v>
      </c>
      <c r="D230">
        <f ca="1">IF(ISBLANK(A230), "", IF(COUNTIF('Annotated Papers'!A:A,A230)&gt;1,1,0))</f>
        <v>0</v>
      </c>
      <c r="E230">
        <f ca="1">IF(ISBLANK(A230), "", IF(SUMIFS('Annotated Papers'!G:G, 'Annotated Papers'!A:A,A230)&gt;0,1,0))</f>
        <v>0</v>
      </c>
      <c r="F230">
        <f ca="1">IF(ISBLANK(A230), "", IF(SUMIFS('Annotated Papers'!H:H, 'Annotated Papers'!A:A,A230)&gt;0,1,0))</f>
        <v>1</v>
      </c>
      <c r="G230" t="e">
        <f ca="1">IF(ISBLANK(A230), "", IF(SUMIFS('Annotated Papers'!I:I, 'Annotated Papers'!A:A,A230)&gt;0,1,0))</f>
        <v>#NAME?</v>
      </c>
      <c r="H230">
        <f ca="1">IF(ISBLANK(A230), "", IF(SUMIFS('Annotated Papers'!L:L, 'Annotated Papers'!A:A,A230)&gt;0,1,0))</f>
        <v>0</v>
      </c>
      <c r="I230" s="24">
        <f ca="1">IF(ISBLANK(A230), "", VLOOKUP(A230,'Annotated Papers'!229:1268,4,FALSE))</f>
        <v>0</v>
      </c>
    </row>
    <row r="231" spans="1:9" ht="14">
      <c r="A231" s="26" t="str">
        <f ca="1">IFERROR(__xludf.DUMMYFUNCTION("""COMPUTED_VALUE"""),"Exemplar Encoder-Decoder for Neural Conversation Generation")</f>
        <v>Exemplar Encoder-Decoder for Neural Conversation Generation</v>
      </c>
      <c r="B231" t="str">
        <f ca="1">IF(ISBLANK(A231), "", VLOOKUP(A231,'Annotated Papers'!230:1269,2,FALSE))</f>
        <v>NLP</v>
      </c>
      <c r="C231" s="24">
        <f ca="1">IF(ISBLANK(A231), "", VLOOKUP(A231,'Annotated Papers'!230:1269,5,FALSE))</f>
        <v>1</v>
      </c>
      <c r="D231">
        <f ca="1">IF(ISBLANK(A231), "", IF(COUNTIF('Annotated Papers'!A:A,A231)&gt;1,1,0))</f>
        <v>1</v>
      </c>
      <c r="E231">
        <f ca="1">IF(ISBLANK(A231), "", IF(SUMIFS('Annotated Papers'!G:G, 'Annotated Papers'!A:A,A231)&gt;0,1,0))</f>
        <v>0</v>
      </c>
      <c r="F231">
        <f ca="1">IF(ISBLANK(A231), "", IF(SUMIFS('Annotated Papers'!H:H, 'Annotated Papers'!A:A,A231)&gt;0,1,0))</f>
        <v>1</v>
      </c>
      <c r="G231" t="e">
        <f ca="1">IF(ISBLANK(A231), "", IF(SUMIFS('Annotated Papers'!I:I, 'Annotated Papers'!A:A,A231)&gt;0,1,0))</f>
        <v>#NAME?</v>
      </c>
      <c r="H231">
        <f ca="1">IF(ISBLANK(A231), "", IF(SUMIFS('Annotated Papers'!L:L, 'Annotated Papers'!A:A,A231)&gt;0,1,0))</f>
        <v>0</v>
      </c>
      <c r="I231" s="24">
        <f ca="1">IF(ISBLANK(A231), "", VLOOKUP(A231,'Annotated Papers'!230:1269,4,FALSE))</f>
        <v>0</v>
      </c>
    </row>
    <row r="232" spans="1:9" ht="14">
      <c r="A232" s="26" t="str">
        <f ca="1">IFERROR(__xludf.DUMMYFUNCTION("""COMPUTED_VALUE"""),"Please Clap: Modeling Applause in Campaign Speeches")</f>
        <v>Please Clap: Modeling Applause in Campaign Speeches</v>
      </c>
      <c r="B232" t="str">
        <f ca="1">IF(ISBLANK(A232), "", VLOOKUP(A232,'Annotated Papers'!231:1270,2,FALSE))</f>
        <v>NLP</v>
      </c>
      <c r="C232" s="24">
        <f ca="1">IF(ISBLANK(A232), "", VLOOKUP(A232,'Annotated Papers'!231:1270,5,FALSE))</f>
        <v>1</v>
      </c>
      <c r="D232">
        <f ca="1">IF(ISBLANK(A232), "", IF(COUNTIF('Annotated Papers'!A:A,A232)&gt;1,1,0))</f>
        <v>0</v>
      </c>
      <c r="E232">
        <f ca="1">IF(ISBLANK(A232), "", IF(SUMIFS('Annotated Papers'!G:G, 'Annotated Papers'!A:A,A232)&gt;0,1,0))</f>
        <v>0</v>
      </c>
      <c r="F232">
        <f ca="1">IF(ISBLANK(A232), "", IF(SUMIFS('Annotated Papers'!H:H, 'Annotated Papers'!A:A,A232)&gt;0,1,0))</f>
        <v>1</v>
      </c>
      <c r="G232" t="e">
        <f ca="1">IF(ISBLANK(A232), "", IF(SUMIFS('Annotated Papers'!I:I, 'Annotated Papers'!A:A,A232)&gt;0,1,0))</f>
        <v>#NAME?</v>
      </c>
      <c r="H232">
        <f ca="1">IF(ISBLANK(A232), "", IF(SUMIFS('Annotated Papers'!L:L, 'Annotated Papers'!A:A,A232)&gt;0,1,0))</f>
        <v>1</v>
      </c>
      <c r="I232" s="24">
        <f ca="1">IF(ISBLANK(A232), "", VLOOKUP(A232,'Annotated Papers'!231:1270,4,FALSE))</f>
        <v>0</v>
      </c>
    </row>
    <row r="233" spans="1:9" ht="14">
      <c r="A233" s="26" t="str">
        <f ca="1">IFERROR(__xludf.DUMMYFUNCTION("""COMPUTED_VALUE"""),"Attentive Interaction Model: Modeling Changes in View in Argumentation")</f>
        <v>Attentive Interaction Model: Modeling Changes in View in Argumentation</v>
      </c>
      <c r="B233" t="str">
        <f ca="1">IF(ISBLANK(A233), "", VLOOKUP(A233,'Annotated Papers'!232:1271,2,FALSE))</f>
        <v>NLP</v>
      </c>
      <c r="C233" s="24">
        <f ca="1">IF(ISBLANK(A233), "", VLOOKUP(A233,'Annotated Papers'!232:1271,5,FALSE))</f>
        <v>1</v>
      </c>
      <c r="D233">
        <f ca="1">IF(ISBLANK(A233), "", IF(COUNTIF('Annotated Papers'!A:A,A233)&gt;1,1,0))</f>
        <v>0</v>
      </c>
      <c r="E233">
        <f ca="1">IF(ISBLANK(A233), "", IF(SUMIFS('Annotated Papers'!G:G, 'Annotated Papers'!A:A,A233)&gt;0,1,0))</f>
        <v>0</v>
      </c>
      <c r="F233">
        <f ca="1">IF(ISBLANK(A233), "", IF(SUMIFS('Annotated Papers'!H:H, 'Annotated Papers'!A:A,A233)&gt;0,1,0))</f>
        <v>1</v>
      </c>
      <c r="G233" t="e">
        <f ca="1">IF(ISBLANK(A233), "", IF(SUMIFS('Annotated Papers'!I:I, 'Annotated Papers'!A:A,A233)&gt;0,1,0))</f>
        <v>#NAME?</v>
      </c>
      <c r="H233">
        <f ca="1">IF(ISBLANK(A233), "", IF(SUMIFS('Annotated Papers'!L:L, 'Annotated Papers'!A:A,A233)&gt;0,1,0))</f>
        <v>0</v>
      </c>
      <c r="I233" s="24">
        <f ca="1">IF(ISBLANK(A233), "", VLOOKUP(A233,'Annotated Papers'!232:1271,4,FALSE))</f>
        <v>0</v>
      </c>
    </row>
    <row r="234" spans="1:9" ht="14">
      <c r="A234" s="26" t="str">
        <f ca="1">IFERROR(__xludf.DUMMYFUNCTION("""COMPUTED_VALUE"""),"Automatic Focus Annotation: Bringing Formal Pragmatics Alive in
Analyzing the Information Structure of Authentic Data")</f>
        <v>Automatic Focus Annotation: Bringing Formal Pragmatics Alive in
Analyzing the Information Structure of Authentic Data</v>
      </c>
      <c r="B234" t="str">
        <f ca="1">IF(ISBLANK(A234), "", VLOOKUP(A234,'Annotated Papers'!233:1272,2,FALSE))</f>
        <v>NLP</v>
      </c>
      <c r="C234" s="24">
        <f ca="1">IF(ISBLANK(A234), "", VLOOKUP(A234,'Annotated Papers'!233:1272,5,FALSE))</f>
        <v>0</v>
      </c>
      <c r="D234">
        <f ca="1">IF(ISBLANK(A234), "", IF(COUNTIF('Annotated Papers'!A:A,A234)&gt;1,1,0))</f>
        <v>1</v>
      </c>
      <c r="E234">
        <f ca="1">IF(ISBLANK(A234), "", IF(SUMIFS('Annotated Papers'!G:G, 'Annotated Papers'!A:A,A234)&gt;0,1,0))</f>
        <v>0</v>
      </c>
      <c r="F234">
        <f ca="1">IF(ISBLANK(A234), "", IF(SUMIFS('Annotated Papers'!H:H, 'Annotated Papers'!A:A,A234)&gt;0,1,0))</f>
        <v>1</v>
      </c>
      <c r="G234" t="e">
        <f ca="1">IF(ISBLANK(A234), "", IF(SUMIFS('Annotated Papers'!I:I, 'Annotated Papers'!A:A,A234)&gt;0,1,0))</f>
        <v>#NAME?</v>
      </c>
      <c r="H234">
        <f ca="1">IF(ISBLANK(A234), "", IF(SUMIFS('Annotated Papers'!L:L, 'Annotated Papers'!A:A,A234)&gt;0,1,0))</f>
        <v>0</v>
      </c>
      <c r="I234" s="24">
        <f ca="1">IF(ISBLANK(A234), "", VLOOKUP(A234,'Annotated Papers'!233:1272,4,FALSE))</f>
        <v>0</v>
      </c>
    </row>
    <row r="235" spans="1:9" ht="14">
      <c r="A235" s="26" t="str">
        <f ca="1">IFERROR(__xludf.DUMMYFUNCTION("""COMPUTED_VALUE"""),"Interactive Instance-based Evaluation of
Knowledge Base Question Answering")</f>
        <v>Interactive Instance-based Evaluation of
Knowledge Base Question Answering</v>
      </c>
      <c r="B235" t="str">
        <f ca="1">IF(ISBLANK(A235), "", VLOOKUP(A235,'Annotated Papers'!234:1273,2,FALSE))</f>
        <v>NLP</v>
      </c>
      <c r="C235" s="24">
        <f ca="1">IF(ISBLANK(A235), "", VLOOKUP(A235,'Annotated Papers'!234:1273,5,FALSE))</f>
        <v>1</v>
      </c>
      <c r="D235">
        <f ca="1">IF(ISBLANK(A235), "", IF(COUNTIF('Annotated Papers'!A:A,A235)&gt;1,1,0))</f>
        <v>0</v>
      </c>
      <c r="E235">
        <f ca="1">IF(ISBLANK(A235), "", IF(SUMIFS('Annotated Papers'!G:G, 'Annotated Papers'!A:A,A235)&gt;0,1,0))</f>
        <v>0</v>
      </c>
      <c r="F235">
        <f ca="1">IF(ISBLANK(A235), "", IF(SUMIFS('Annotated Papers'!H:H, 'Annotated Papers'!A:A,A235)&gt;0,1,0))</f>
        <v>1</v>
      </c>
      <c r="G235" t="e">
        <f ca="1">IF(ISBLANK(A235), "", IF(SUMIFS('Annotated Papers'!I:I, 'Annotated Papers'!A:A,A235)&gt;0,1,0))</f>
        <v>#NAME?</v>
      </c>
      <c r="H235">
        <f ca="1">IF(ISBLANK(A235), "", IF(SUMIFS('Annotated Papers'!L:L, 'Annotated Papers'!A:A,A235)&gt;0,1,0))</f>
        <v>0</v>
      </c>
      <c r="I235" s="24">
        <f ca="1">IF(ISBLANK(A235), "", VLOOKUP(A235,'Annotated Papers'!234:1273,4,FALSE))</f>
        <v>0</v>
      </c>
    </row>
    <row r="236" spans="1:9" ht="14">
      <c r="A236" s="26" t="str">
        <f ca="1">IFERROR(__xludf.DUMMYFUNCTION("""COMPUTED_VALUE"""),"Logician and Orator: Learning from the Duality between Language and Knowledge in Open Domain")</f>
        <v>Logician and Orator: Learning from the Duality between Language and Knowledge in Open Domain</v>
      </c>
      <c r="B236" t="str">
        <f ca="1">IF(ISBLANK(A236), "", VLOOKUP(A236,'Annotated Papers'!235:1274,2,FALSE))</f>
        <v>NLP</v>
      </c>
      <c r="C236" s="24">
        <f ca="1">IF(ISBLANK(A236), "", VLOOKUP(A236,'Annotated Papers'!235:1274,5,FALSE))</f>
        <v>0</v>
      </c>
      <c r="D236">
        <f ca="1">IF(ISBLANK(A236), "", IF(COUNTIF('Annotated Papers'!A:A,A236)&gt;1,1,0))</f>
        <v>0</v>
      </c>
      <c r="E236">
        <f ca="1">IF(ISBLANK(A236), "", IF(SUMIFS('Annotated Papers'!G:G, 'Annotated Papers'!A:A,A236)&gt;0,1,0))</f>
        <v>0</v>
      </c>
      <c r="F236">
        <f ca="1">IF(ISBLANK(A236), "", IF(SUMIFS('Annotated Papers'!H:H, 'Annotated Papers'!A:A,A236)&gt;0,1,0))</f>
        <v>1</v>
      </c>
      <c r="G236" t="e">
        <f ca="1">IF(ISBLANK(A236), "", IF(SUMIFS('Annotated Papers'!I:I, 'Annotated Papers'!A:A,A236)&gt;0,1,0))</f>
        <v>#NAME?</v>
      </c>
      <c r="H236">
        <f ca="1">IF(ISBLANK(A236), "", IF(SUMIFS('Annotated Papers'!L:L, 'Annotated Papers'!A:A,A236)&gt;0,1,0))</f>
        <v>0</v>
      </c>
      <c r="I236" s="24">
        <f ca="1">IF(ISBLANK(A236), "", VLOOKUP(A236,'Annotated Papers'!235:1274,4,FALSE))</f>
        <v>0</v>
      </c>
    </row>
    <row r="237" spans="1:9" ht="14">
      <c r="A237" s="26" t="str">
        <f ca="1">IFERROR(__xludf.DUMMYFUNCTION("""COMPUTED_VALUE"""),"A Probabilistic Annotation Model for Crowdsourcing Coreference")</f>
        <v>A Probabilistic Annotation Model for Crowdsourcing Coreference</v>
      </c>
      <c r="B237" t="str">
        <f ca="1">IF(ISBLANK(A237), "", VLOOKUP(A237,'Annotated Papers'!236:1275,2,FALSE))</f>
        <v>NLP</v>
      </c>
      <c r="C237" s="24">
        <f ca="1">IF(ISBLANK(A237), "", VLOOKUP(A237,'Annotated Papers'!236:1275,5,FALSE))</f>
        <v>0</v>
      </c>
      <c r="D237">
        <f ca="1">IF(ISBLANK(A237), "", IF(COUNTIF('Annotated Papers'!A:A,A237)&gt;1,1,0))</f>
        <v>1</v>
      </c>
      <c r="E237">
        <f ca="1">IF(ISBLANK(A237), "", IF(SUMIFS('Annotated Papers'!G:G, 'Annotated Papers'!A:A,A237)&gt;0,1,0))</f>
        <v>0</v>
      </c>
      <c r="F237">
        <f ca="1">IF(ISBLANK(A237), "", IF(SUMIFS('Annotated Papers'!H:H, 'Annotated Papers'!A:A,A237)&gt;0,1,0))</f>
        <v>1</v>
      </c>
      <c r="G237" t="e">
        <f ca="1">IF(ISBLANK(A237), "", IF(SUMIFS('Annotated Papers'!I:I, 'Annotated Papers'!A:A,A237)&gt;0,1,0))</f>
        <v>#NAME?</v>
      </c>
      <c r="H237">
        <f ca="1">IF(ISBLANK(A237), "", IF(SUMIFS('Annotated Papers'!L:L, 'Annotated Papers'!A:A,A237)&gt;0,1,0))</f>
        <v>1</v>
      </c>
      <c r="I237" s="24">
        <f ca="1">IF(ISBLANK(A237), "", VLOOKUP(A237,'Annotated Papers'!236:1275,4,FALSE))</f>
        <v>0</v>
      </c>
    </row>
    <row r="238" spans="1:9" ht="14">
      <c r="A238" s="26" t="str">
        <f ca="1">IFERROR(__xludf.DUMMYFUNCTION("""COMPUTED_VALUE"""),"Platforms for Non-Speakers Annotating Names in Any Language")</f>
        <v>Platforms for Non-Speakers Annotating Names in Any Language</v>
      </c>
      <c r="B238" t="str">
        <f ca="1">IF(ISBLANK(A238), "", VLOOKUP(A238,'Annotated Papers'!237:1276,2,FALSE))</f>
        <v>NLP</v>
      </c>
      <c r="C238" s="24">
        <f ca="1">IF(ISBLANK(A238), "", VLOOKUP(A238,'Annotated Papers'!237:1276,5,FALSE))</f>
        <v>0</v>
      </c>
      <c r="D238">
        <f ca="1">IF(ISBLANK(A238), "", IF(COUNTIF('Annotated Papers'!A:A,A238)&gt;1,1,0))</f>
        <v>1</v>
      </c>
      <c r="E238">
        <f ca="1">IF(ISBLANK(A238), "", IF(SUMIFS('Annotated Papers'!G:G, 'Annotated Papers'!A:A,A238)&gt;0,1,0))</f>
        <v>0</v>
      </c>
      <c r="F238">
        <f ca="1">IF(ISBLANK(A238), "", IF(SUMIFS('Annotated Papers'!H:H, 'Annotated Papers'!A:A,A238)&gt;0,1,0))</f>
        <v>1</v>
      </c>
      <c r="G238" t="e">
        <f ca="1">IF(ISBLANK(A238), "", IF(SUMIFS('Annotated Papers'!I:I, 'Annotated Papers'!A:A,A238)&gt;0,1,0))</f>
        <v>#NAME?</v>
      </c>
      <c r="H238">
        <f ca="1">IF(ISBLANK(A238), "", IF(SUMIFS('Annotated Papers'!L:L, 'Annotated Papers'!A:A,A238)&gt;0,1,0))</f>
        <v>0</v>
      </c>
      <c r="I238" s="24">
        <f ca="1">IF(ISBLANK(A238), "", VLOOKUP(A238,'Annotated Papers'!237:1276,4,FALSE))</f>
        <v>0</v>
      </c>
    </row>
    <row r="239" spans="1:9" ht="14">
      <c r="A239" s="26" t="str">
        <f ca="1">IFERROR(__xludf.DUMMYFUNCTION("""COMPUTED_VALUE"""),"A Unified Model for Extractive and Abstractive Summarization using Inconsistency Loss")</f>
        <v>A Unified Model for Extractive and Abstractive Summarization using Inconsistency Loss</v>
      </c>
      <c r="B239" t="str">
        <f ca="1">IF(ISBLANK(A239), "", VLOOKUP(A239,'Annotated Papers'!238:1277,2,FALSE))</f>
        <v>NLP</v>
      </c>
      <c r="C239" s="24">
        <f ca="1">IF(ISBLANK(A239), "", VLOOKUP(A239,'Annotated Papers'!238:1277,5,FALSE))</f>
        <v>0</v>
      </c>
      <c r="D239">
        <f ca="1">IF(ISBLANK(A239), "", IF(COUNTIF('Annotated Papers'!A:A,A239)&gt;1,1,0))</f>
        <v>1</v>
      </c>
      <c r="E239">
        <f ca="1">IF(ISBLANK(A239), "", IF(SUMIFS('Annotated Papers'!G:G, 'Annotated Papers'!A:A,A239)&gt;0,1,0))</f>
        <v>0</v>
      </c>
      <c r="F239">
        <f ca="1">IF(ISBLANK(A239), "", IF(SUMIFS('Annotated Papers'!H:H, 'Annotated Papers'!A:A,A239)&gt;0,1,0))</f>
        <v>1</v>
      </c>
      <c r="G239" t="e">
        <f ca="1">IF(ISBLANK(A239), "", IF(SUMIFS('Annotated Papers'!I:I, 'Annotated Papers'!A:A,A239)&gt;0,1,0))</f>
        <v>#NAME?</v>
      </c>
      <c r="H239">
        <f ca="1">IF(ISBLANK(A239), "", IF(SUMIFS('Annotated Papers'!L:L, 'Annotated Papers'!A:A,A239)&gt;0,1,0))</f>
        <v>1</v>
      </c>
      <c r="I239" s="24">
        <f ca="1">IF(ISBLANK(A239), "", VLOOKUP(A239,'Annotated Papers'!238:1277,4,FALSE))</f>
        <v>0</v>
      </c>
    </row>
    <row r="240" spans="1:9" ht="14">
      <c r="A240" s="26" t="str">
        <f ca="1">IFERROR(__xludf.DUMMYFUNCTION("""COMPUTED_VALUE"""),"NextGen AML: Distributed Deep Learning based Language Technologies
to Augment Anti Money Laundering Investigation")</f>
        <v>NextGen AML: Distributed Deep Learning based Language Technologies
to Augment Anti Money Laundering Investigation</v>
      </c>
      <c r="B240" t="str">
        <f ca="1">IF(ISBLANK(A240), "", VLOOKUP(A240,'Annotated Papers'!239:1278,2,FALSE))</f>
        <v>NLP</v>
      </c>
      <c r="C240" s="24">
        <f ca="1">IF(ISBLANK(A240), "", VLOOKUP(A240,'Annotated Papers'!239:1278,5,FALSE))</f>
        <v>0</v>
      </c>
      <c r="D240">
        <f ca="1">IF(ISBLANK(A240), "", IF(COUNTIF('Annotated Papers'!A:A,A240)&gt;1,1,0))</f>
        <v>1</v>
      </c>
      <c r="E240">
        <f ca="1">IF(ISBLANK(A240), "", IF(SUMIFS('Annotated Papers'!G:G, 'Annotated Papers'!A:A,A240)&gt;0,1,0))</f>
        <v>0</v>
      </c>
      <c r="F240">
        <f ca="1">IF(ISBLANK(A240), "", IF(SUMIFS('Annotated Papers'!H:H, 'Annotated Papers'!A:A,A240)&gt;0,1,0))</f>
        <v>1</v>
      </c>
      <c r="G240" t="e">
        <f ca="1">IF(ISBLANK(A240), "", IF(SUMIFS('Annotated Papers'!I:I, 'Annotated Papers'!A:A,A240)&gt;0,1,0))</f>
        <v>#NAME?</v>
      </c>
      <c r="H240">
        <f ca="1">IF(ISBLANK(A240), "", IF(SUMIFS('Annotated Papers'!L:L, 'Annotated Papers'!A:A,A240)&gt;0,1,0))</f>
        <v>0</v>
      </c>
      <c r="I240" s="24">
        <f ca="1">IF(ISBLANK(A240), "", VLOOKUP(A240,'Annotated Papers'!239:1278,4,FALSE))</f>
        <v>0</v>
      </c>
    </row>
    <row r="241" spans="1:9" ht="14">
      <c r="A241" s="26" t="str">
        <f ca="1">IFERROR(__xludf.DUMMYFUNCTION("""COMPUTED_VALUE"""),"Dear Sir or Madam, May I Introduce the GYAFC Dataset: Corpus, Benchmarks and Metrics for Formality Style Transfer")</f>
        <v>Dear Sir or Madam, May I Introduce the GYAFC Dataset: Corpus, Benchmarks and Metrics for Formality Style Transfer</v>
      </c>
      <c r="B241" t="str">
        <f ca="1">IF(ISBLANK(A241), "", VLOOKUP(A241,'Annotated Papers'!240:1279,2,FALSE))</f>
        <v>NLP</v>
      </c>
      <c r="C241" s="24">
        <f ca="1">IF(ISBLANK(A241), "", VLOOKUP(A241,'Annotated Papers'!240:1279,5,FALSE))</f>
        <v>1</v>
      </c>
      <c r="D241">
        <f ca="1">IF(ISBLANK(A241), "", IF(COUNTIF('Annotated Papers'!A:A,A241)&gt;1,1,0))</f>
        <v>0</v>
      </c>
      <c r="E241">
        <f ca="1">IF(ISBLANK(A241), "", IF(SUMIFS('Annotated Papers'!G:G, 'Annotated Papers'!A:A,A241)&gt;0,1,0))</f>
        <v>0</v>
      </c>
      <c r="F241">
        <f ca="1">IF(ISBLANK(A241), "", IF(SUMIFS('Annotated Papers'!H:H, 'Annotated Papers'!A:A,A241)&gt;0,1,0))</f>
        <v>1</v>
      </c>
      <c r="G241" t="e">
        <f ca="1">IF(ISBLANK(A241), "", IF(SUMIFS('Annotated Papers'!I:I, 'Annotated Papers'!A:A,A241)&gt;0,1,0))</f>
        <v>#NAME?</v>
      </c>
      <c r="H241">
        <f ca="1">IF(ISBLANK(A241), "", IF(SUMIFS('Annotated Papers'!L:L, 'Annotated Papers'!A:A,A241)&gt;0,1,0))</f>
        <v>1</v>
      </c>
      <c r="I241" s="24">
        <f ca="1">IF(ISBLANK(A241), "", VLOOKUP(A241,'Annotated Papers'!240:1279,4,FALSE))</f>
        <v>0</v>
      </c>
    </row>
    <row r="242" spans="1:9" ht="14">
      <c r="A242" s="25" t="str">
        <f ca="1">IFERROR(__xludf.DUMMYFUNCTION("""COMPUTED_VALUE"""),"Using Large Ensembles of Control Variates for Variational Inference")</f>
        <v>Using Large Ensembles of Control Variates for Variational Inference</v>
      </c>
      <c r="B242" t="str">
        <f ca="1">IF(ISBLANK(A242), "", VLOOKUP(A242,'Annotated Papers'!241:1280,2,FALSE))</f>
        <v>General</v>
      </c>
      <c r="C242" s="24">
        <f ca="1">IF(ISBLANK(A242), "", VLOOKUP(A242,'Annotated Papers'!241:1280,5,FALSE))</f>
        <v>0</v>
      </c>
      <c r="D242">
        <f ca="1">IF(ISBLANK(A242), "", IF(COUNTIF('Annotated Papers'!A:A,A242)&gt;1,1,0))</f>
        <v>1</v>
      </c>
      <c r="E242">
        <f ca="1">IF(ISBLANK(A242), "", IF(SUMIFS('Annotated Papers'!G:G, 'Annotated Papers'!A:A,A242)&gt;0,1,0))</f>
        <v>0</v>
      </c>
      <c r="F242">
        <f ca="1">IF(ISBLANK(A242), "", IF(SUMIFS('Annotated Papers'!H:H, 'Annotated Papers'!A:A,A242)&gt;0,1,0))</f>
        <v>1</v>
      </c>
      <c r="G242" t="e">
        <f ca="1">IF(ISBLANK(A242), "", IF(SUMIFS('Annotated Papers'!I:I, 'Annotated Papers'!A:A,A242)&gt;0,1,0))</f>
        <v>#NAME?</v>
      </c>
      <c r="H242">
        <f ca="1">IF(ISBLANK(A242), "", IF(SUMIFS('Annotated Papers'!L:L, 'Annotated Papers'!A:A,A242)&gt;0,1,0))</f>
        <v>0</v>
      </c>
      <c r="I242" s="24">
        <f ca="1">IF(ISBLANK(A242), "", VLOOKUP(A242,'Annotated Papers'!241:1280,4,FALSE))</f>
        <v>0</v>
      </c>
    </row>
    <row r="243" spans="1:9" ht="14">
      <c r="A243" s="25" t="str">
        <f ca="1">IFERROR(__xludf.DUMMYFUNCTION("""COMPUTED_VALUE"""),"Q-learning with Nearest Neighbors")</f>
        <v>Q-learning with Nearest Neighbors</v>
      </c>
      <c r="B243" t="str">
        <f ca="1">IF(ISBLANK(A243), "", VLOOKUP(A243,'Annotated Papers'!242:1281,2,FALSE))</f>
        <v>General</v>
      </c>
      <c r="C243" s="24">
        <f ca="1">IF(ISBLANK(A243), "", VLOOKUP(A243,'Annotated Papers'!242:1281,5,FALSE))</f>
        <v>0</v>
      </c>
      <c r="D243">
        <f ca="1">IF(ISBLANK(A243), "", IF(COUNTIF('Annotated Papers'!A:A,A243)&gt;1,1,0))</f>
        <v>0</v>
      </c>
      <c r="E243">
        <f ca="1">IF(ISBLANK(A243), "", IF(SUMIFS('Annotated Papers'!G:G, 'Annotated Papers'!A:A,A243)&gt;0,1,0))</f>
        <v>0</v>
      </c>
      <c r="F243">
        <f ca="1">IF(ISBLANK(A243), "", IF(SUMIFS('Annotated Papers'!H:H, 'Annotated Papers'!A:A,A243)&gt;0,1,0))</f>
        <v>0</v>
      </c>
      <c r="G243">
        <f ca="1">IF(ISBLANK(A243), "", IF(SUMIFS('Annotated Papers'!I:I, 'Annotated Papers'!A:A,A243)&gt;0,1,0))</f>
        <v>0</v>
      </c>
      <c r="H243">
        <f ca="1">IF(ISBLANK(A243), "", IF(SUMIFS('Annotated Papers'!L:L, 'Annotated Papers'!A:A,A243)&gt;0,1,0))</f>
        <v>0</v>
      </c>
      <c r="I243" s="24">
        <f ca="1">IF(ISBLANK(A243), "", VLOOKUP(A243,'Annotated Papers'!242:1281,4,FALSE))</f>
        <v>1</v>
      </c>
    </row>
    <row r="244" spans="1:9" ht="14">
      <c r="A244" s="25" t="str">
        <f ca="1">IFERROR(__xludf.DUMMYFUNCTION("""COMPUTED_VALUE"""),"Scaling the Poisson GLM to massive neural datasets through polynomial approximations")</f>
        <v>Scaling the Poisson GLM to massive neural datasets through polynomial approximations</v>
      </c>
      <c r="B244" t="str">
        <f ca="1">IF(ISBLANK(A244), "", VLOOKUP(A244,'Annotated Papers'!243:1282,2,FALSE))</f>
        <v>General</v>
      </c>
      <c r="C244" s="24">
        <f ca="1">IF(ISBLANK(A244), "", VLOOKUP(A244,'Annotated Papers'!243:1282,5,FALSE))</f>
        <v>1</v>
      </c>
      <c r="D244">
        <f ca="1">IF(ISBLANK(A244), "", IF(COUNTIF('Annotated Papers'!A:A,A244)&gt;1,1,0))</f>
        <v>0</v>
      </c>
      <c r="E244">
        <f ca="1">IF(ISBLANK(A244), "", IF(SUMIFS('Annotated Papers'!G:G, 'Annotated Papers'!A:A,A244)&gt;0,1,0))</f>
        <v>0</v>
      </c>
      <c r="F244">
        <f ca="1">IF(ISBLANK(A244), "", IF(SUMIFS('Annotated Papers'!H:H, 'Annotated Papers'!A:A,A244)&gt;0,1,0))</f>
        <v>1</v>
      </c>
      <c r="G244" t="e">
        <f ca="1">IF(ISBLANK(A244), "", IF(SUMIFS('Annotated Papers'!I:I, 'Annotated Papers'!A:A,A244)&gt;0,1,0))</f>
        <v>#NAME?</v>
      </c>
      <c r="H244">
        <f ca="1">IF(ISBLANK(A244), "", IF(SUMIFS('Annotated Papers'!L:L, 'Annotated Papers'!A:A,A244)&gt;0,1,0))</f>
        <v>0</v>
      </c>
      <c r="I244" s="24">
        <f ca="1">IF(ISBLANK(A244), "", VLOOKUP(A244,'Annotated Papers'!243:1282,4,FALSE))</f>
        <v>0</v>
      </c>
    </row>
    <row r="245" spans="1:9" ht="14">
      <c r="A245" s="25" t="str">
        <f ca="1">IFERROR(__xludf.DUMMYFUNCTION("""COMPUTED_VALUE"""),"Online Learning with an Unknown Fairness Metric")</f>
        <v>Online Learning with an Unknown Fairness Metric</v>
      </c>
      <c r="B245" t="str">
        <f ca="1">IF(ISBLANK(A245), "", VLOOKUP(A245,'Annotated Papers'!244:1283,2,FALSE))</f>
        <v>General</v>
      </c>
      <c r="C245" s="24">
        <f ca="1">IF(ISBLANK(A245), "", VLOOKUP(A245,'Annotated Papers'!244:1283,5,FALSE))</f>
        <v>0</v>
      </c>
      <c r="D245">
        <f ca="1">IF(ISBLANK(A245), "", IF(COUNTIF('Annotated Papers'!A:A,A245)&gt;1,1,0))</f>
        <v>0</v>
      </c>
      <c r="E245">
        <f ca="1">IF(ISBLANK(A245), "", IF(SUMIFS('Annotated Papers'!G:G, 'Annotated Papers'!A:A,A245)&gt;0,1,0))</f>
        <v>0</v>
      </c>
      <c r="F245">
        <f ca="1">IF(ISBLANK(A245), "", IF(SUMIFS('Annotated Papers'!H:H, 'Annotated Papers'!A:A,A245)&gt;0,1,0))</f>
        <v>0</v>
      </c>
      <c r="G245">
        <f ca="1">IF(ISBLANK(A245), "", IF(SUMIFS('Annotated Papers'!I:I, 'Annotated Papers'!A:A,A245)&gt;0,1,0))</f>
        <v>0</v>
      </c>
      <c r="H245">
        <f ca="1">IF(ISBLANK(A245), "", IF(SUMIFS('Annotated Papers'!L:L, 'Annotated Papers'!A:A,A245)&gt;0,1,0))</f>
        <v>0</v>
      </c>
      <c r="I245" s="24">
        <f ca="1">IF(ISBLANK(A245), "", VLOOKUP(A245,'Annotated Papers'!244:1283,4,FALSE))</f>
        <v>1</v>
      </c>
    </row>
    <row r="246" spans="1:9" ht="14">
      <c r="A246" s="25" t="str">
        <f ca="1">IFERROR(__xludf.DUMMYFUNCTION("""COMPUTED_VALUE"""),"A Framework for the Quantitative Evaluation of Disentangled Representations")</f>
        <v>A Framework for the Quantitative Evaluation of Disentangled Representations</v>
      </c>
      <c r="B246" t="str">
        <f ca="1">IF(ISBLANK(A246), "", VLOOKUP(A246,'Annotated Papers'!245:1284,2,FALSE))</f>
        <v>General</v>
      </c>
      <c r="C246" s="24">
        <f ca="1">IF(ISBLANK(A246), "", VLOOKUP(A246,'Annotated Papers'!245:1284,5,FALSE))</f>
        <v>1</v>
      </c>
      <c r="D246">
        <f ca="1">IF(ISBLANK(A246), "", IF(COUNTIF('Annotated Papers'!A:A,A246)&gt;1,1,0))</f>
        <v>0</v>
      </c>
      <c r="E246">
        <f ca="1">IF(ISBLANK(A246), "", IF(SUMIFS('Annotated Papers'!G:G, 'Annotated Papers'!A:A,A246)&gt;0,1,0))</f>
        <v>0</v>
      </c>
      <c r="F246">
        <f ca="1">IF(ISBLANK(A246), "", IF(SUMIFS('Annotated Papers'!H:H, 'Annotated Papers'!A:A,A246)&gt;0,1,0))</f>
        <v>1</v>
      </c>
      <c r="G246" t="e">
        <f ca="1">IF(ISBLANK(A246), "", IF(SUMIFS('Annotated Papers'!I:I, 'Annotated Papers'!A:A,A246)&gt;0,1,0))</f>
        <v>#NAME?</v>
      </c>
      <c r="H246">
        <f ca="1">IF(ISBLANK(A246), "", IF(SUMIFS('Annotated Papers'!L:L, 'Annotated Papers'!A:A,A246)&gt;0,1,0))</f>
        <v>0</v>
      </c>
      <c r="I246" s="24">
        <f ca="1">IF(ISBLANK(A246), "", VLOOKUP(A246,'Annotated Papers'!245:1284,4,FALSE))</f>
        <v>0</v>
      </c>
    </row>
    <row r="247" spans="1:9" ht="14">
      <c r="A247" s="25" t="str">
        <f ca="1">IFERROR(__xludf.DUMMYFUNCTION("""COMPUTED_VALUE"""),"A Simple Neural Attentive Meta-Learner")</f>
        <v>A Simple Neural Attentive Meta-Learner</v>
      </c>
      <c r="B247" t="str">
        <f ca="1">IF(ISBLANK(A247), "", VLOOKUP(A247,'Annotated Papers'!246:1285,2,FALSE))</f>
        <v>General</v>
      </c>
      <c r="C247" s="24">
        <f ca="1">IF(ISBLANK(A247), "", VLOOKUP(A247,'Annotated Papers'!246:1285,5,FALSE))</f>
        <v>0</v>
      </c>
      <c r="D247">
        <f ca="1">IF(ISBLANK(A247), "", IF(COUNTIF('Annotated Papers'!A:A,A247)&gt;1,1,0))</f>
        <v>1</v>
      </c>
      <c r="E247">
        <f ca="1">IF(ISBLANK(A247), "", IF(SUMIFS('Annotated Papers'!G:G, 'Annotated Papers'!A:A,A247)&gt;0,1,0))</f>
        <v>0</v>
      </c>
      <c r="F247">
        <f ca="1">IF(ISBLANK(A247), "", IF(SUMIFS('Annotated Papers'!H:H, 'Annotated Papers'!A:A,A247)&gt;0,1,0))</f>
        <v>1</v>
      </c>
      <c r="G247" t="e">
        <f ca="1">IF(ISBLANK(A247), "", IF(SUMIFS('Annotated Papers'!I:I, 'Annotated Papers'!A:A,A247)&gt;0,1,0))</f>
        <v>#NAME?</v>
      </c>
      <c r="H247">
        <f ca="1">IF(ISBLANK(A247), "", IF(SUMIFS('Annotated Papers'!L:L, 'Annotated Papers'!A:A,A247)&gt;0,1,0))</f>
        <v>1</v>
      </c>
      <c r="I247" s="24">
        <f ca="1">IF(ISBLANK(A247), "", VLOOKUP(A247,'Annotated Papers'!246:1285,4,FALSE))</f>
        <v>0</v>
      </c>
    </row>
    <row r="248" spans="1:9" ht="14">
      <c r="A248" s="25" t="str">
        <f ca="1">IFERROR(__xludf.DUMMYFUNCTION("""COMPUTED_VALUE"""),"Non-Autoregressive Neural Machine Translation")</f>
        <v>Non-Autoregressive Neural Machine Translation</v>
      </c>
      <c r="B248" t="str">
        <f ca="1">IF(ISBLANK(A248), "", VLOOKUP(A248,'Annotated Papers'!247:1286,2,FALSE))</f>
        <v>General</v>
      </c>
      <c r="C248" s="24">
        <f ca="1">IF(ISBLANK(A248), "", VLOOKUP(A248,'Annotated Papers'!247:1286,5,FALSE))</f>
        <v>0</v>
      </c>
      <c r="D248">
        <f ca="1">IF(ISBLANK(A248), "", IF(COUNTIF('Annotated Papers'!A:A,A248)&gt;1,1,0))</f>
        <v>1</v>
      </c>
      <c r="E248">
        <f ca="1">IF(ISBLANK(A248), "", IF(SUMIFS('Annotated Papers'!G:G, 'Annotated Papers'!A:A,A248)&gt;0,1,0))</f>
        <v>0</v>
      </c>
      <c r="F248">
        <f ca="1">IF(ISBLANK(A248), "", IF(SUMIFS('Annotated Papers'!H:H, 'Annotated Papers'!A:A,A248)&gt;0,1,0))</f>
        <v>1</v>
      </c>
      <c r="G248" t="e">
        <f ca="1">IF(ISBLANK(A248), "", IF(SUMIFS('Annotated Papers'!I:I, 'Annotated Papers'!A:A,A248)&gt;0,1,0))</f>
        <v>#NAME?</v>
      </c>
      <c r="H248">
        <f ca="1">IF(ISBLANK(A248), "", IF(SUMIFS('Annotated Papers'!L:L, 'Annotated Papers'!A:A,A248)&gt;0,1,0))</f>
        <v>0</v>
      </c>
      <c r="I248" s="24">
        <f ca="1">IF(ISBLANK(A248), "", VLOOKUP(A248,'Annotated Papers'!247:1286,4,FALSE))</f>
        <v>0</v>
      </c>
    </row>
    <row r="249" spans="1:9" ht="14">
      <c r="A249" s="26" t="str">
        <f ca="1">IFERROR(__xludf.DUMMYFUNCTION("""COMPUTED_VALUE"""),"Improving Implicit Discourse Relation Classification by Modeling Inter-dependencies of Discourse Units in a Paragraph")</f>
        <v>Improving Implicit Discourse Relation Classification by Modeling Inter-dependencies of Discourse Units in a Paragraph</v>
      </c>
      <c r="B249" t="str">
        <f ca="1">IF(ISBLANK(A249), "", VLOOKUP(A249,'Annotated Papers'!248:1287,2,FALSE))</f>
        <v>NLP</v>
      </c>
      <c r="C249" s="24">
        <f ca="1">IF(ISBLANK(A249), "", VLOOKUP(A249,'Annotated Papers'!248:1287,5,FALSE))</f>
        <v>0</v>
      </c>
      <c r="D249">
        <f ca="1">IF(ISBLANK(A249), "", IF(COUNTIF('Annotated Papers'!A:A,A249)&gt;1,1,0))</f>
        <v>0</v>
      </c>
      <c r="E249">
        <f ca="1">IF(ISBLANK(A249), "", IF(SUMIFS('Annotated Papers'!G:G, 'Annotated Papers'!A:A,A249)&gt;0,1,0))</f>
        <v>0</v>
      </c>
      <c r="F249">
        <f ca="1">IF(ISBLANK(A249), "", IF(SUMIFS('Annotated Papers'!H:H, 'Annotated Papers'!A:A,A249)&gt;0,1,0))</f>
        <v>1</v>
      </c>
      <c r="G249" t="e">
        <f ca="1">IF(ISBLANK(A249), "", IF(SUMIFS('Annotated Papers'!I:I, 'Annotated Papers'!A:A,A249)&gt;0,1,0))</f>
        <v>#NAME?</v>
      </c>
      <c r="H249">
        <f ca="1">IF(ISBLANK(A249), "", IF(SUMIFS('Annotated Papers'!L:L, 'Annotated Papers'!A:A,A249)&gt;0,1,0))</f>
        <v>0</v>
      </c>
      <c r="I249" s="24">
        <f ca="1">IF(ISBLANK(A249), "", VLOOKUP(A249,'Annotated Papers'!248:1287,4,FALSE))</f>
        <v>0</v>
      </c>
    </row>
    <row r="250" spans="1:9" ht="14">
      <c r="A250" s="26" t="str">
        <f ca="1">IFERROR(__xludf.DUMMYFUNCTION("""COMPUTED_VALUE"""),"A Deep Ensemble Model with Slot Alignment for Sequence-to-Sequence
Natural Language Generation")</f>
        <v>A Deep Ensemble Model with Slot Alignment for Sequence-to-Sequence
Natural Language Generation</v>
      </c>
      <c r="B250" t="str">
        <f ca="1">IF(ISBLANK(A250), "", VLOOKUP(A250,'Annotated Papers'!249:1288,2,FALSE))</f>
        <v>NLP</v>
      </c>
      <c r="C250" s="24">
        <f ca="1">IF(ISBLANK(A250), "", VLOOKUP(A250,'Annotated Papers'!249:1288,5,FALSE))</f>
        <v>0</v>
      </c>
      <c r="D250">
        <f ca="1">IF(ISBLANK(A250), "", IF(COUNTIF('Annotated Papers'!A:A,A250)&gt;1,1,0))</f>
        <v>1</v>
      </c>
      <c r="E250">
        <f ca="1">IF(ISBLANK(A250), "", IF(SUMIFS('Annotated Papers'!G:G, 'Annotated Papers'!A:A,A250)&gt;0,1,0))</f>
        <v>0</v>
      </c>
      <c r="F250">
        <f ca="1">IF(ISBLANK(A250), "", IF(SUMIFS('Annotated Papers'!H:H, 'Annotated Papers'!A:A,A250)&gt;0,1,0))</f>
        <v>1</v>
      </c>
      <c r="G250" t="e">
        <f ca="1">IF(ISBLANK(A250), "", IF(SUMIFS('Annotated Papers'!I:I, 'Annotated Papers'!A:A,A250)&gt;0,1,0))</f>
        <v>#NAME?</v>
      </c>
      <c r="H250">
        <f ca="1">IF(ISBLANK(A250), "", IF(SUMIFS('Annotated Papers'!L:L, 'Annotated Papers'!A:A,A250)&gt;0,1,0))</f>
        <v>0</v>
      </c>
      <c r="I250" s="24">
        <f ca="1">IF(ISBLANK(A250), "", VLOOKUP(A250,'Annotated Papers'!249:1288,4,FALSE))</f>
        <v>0</v>
      </c>
    </row>
    <row r="251" spans="1:9" ht="14">
      <c r="A251" s="26" t="str">
        <f ca="1">IFERROR(__xludf.DUMMYFUNCTION("""COMPUTED_VALUE"""),"Getting Gender Right in Neural Machine Translation")</f>
        <v>Getting Gender Right in Neural Machine Translation</v>
      </c>
      <c r="B251" t="str">
        <f ca="1">IF(ISBLANK(A251), "", VLOOKUP(A251,'Annotated Papers'!250:1289,2,FALSE))</f>
        <v>NLP</v>
      </c>
      <c r="C251" s="24">
        <f ca="1">IF(ISBLANK(A251), "", VLOOKUP(A251,'Annotated Papers'!250:1289,5,FALSE))</f>
        <v>0</v>
      </c>
      <c r="D251">
        <f ca="1">IF(ISBLANK(A251), "", IF(COUNTIF('Annotated Papers'!A:A,A251)&gt;1,1,0))</f>
        <v>0</v>
      </c>
      <c r="E251">
        <f ca="1">IF(ISBLANK(A251), "", IF(SUMIFS('Annotated Papers'!G:G, 'Annotated Papers'!A:A,A251)&gt;0,1,0))</f>
        <v>0</v>
      </c>
      <c r="F251">
        <f ca="1">IF(ISBLANK(A251), "", IF(SUMIFS('Annotated Papers'!H:H, 'Annotated Papers'!A:A,A251)&gt;0,1,0))</f>
        <v>0</v>
      </c>
      <c r="G251" t="e">
        <f ca="1">IF(ISBLANK(A251), "", IF(SUMIFS('Annotated Papers'!I:I, 'Annotated Papers'!A:A,A251)&gt;0,1,0))</f>
        <v>#NAME?</v>
      </c>
      <c r="H251">
        <f ca="1">IF(ISBLANK(A251), "", IF(SUMIFS('Annotated Papers'!L:L, 'Annotated Papers'!A:A,A251)&gt;0,1,0))</f>
        <v>0</v>
      </c>
      <c r="I251" s="24">
        <f ca="1">IF(ISBLANK(A251), "", VLOOKUP(A251,'Annotated Papers'!250:1289,4,FALSE))</f>
        <v>0</v>
      </c>
    </row>
    <row r="252" spans="1:9" ht="14">
      <c r="A252" s="26" t="str">
        <f ca="1">IFERROR(__xludf.DUMMYFUNCTION("""COMPUTED_VALUE"""),"Investigating Capsule Networks with Dynamic Routing for Text Classification")</f>
        <v>Investigating Capsule Networks with Dynamic Routing for Text Classification</v>
      </c>
      <c r="B252" t="str">
        <f ca="1">IF(ISBLANK(A252), "", VLOOKUP(A252,'Annotated Papers'!251:1290,2,FALSE))</f>
        <v>NLP</v>
      </c>
      <c r="C252" s="24">
        <f ca="1">IF(ISBLANK(A252), "", VLOOKUP(A252,'Annotated Papers'!251:1290,5,FALSE))</f>
        <v>1</v>
      </c>
      <c r="D252">
        <f ca="1">IF(ISBLANK(A252), "", IF(COUNTIF('Annotated Papers'!A:A,A252)&gt;1,1,0))</f>
        <v>1</v>
      </c>
      <c r="E252">
        <f ca="1">IF(ISBLANK(A252), "", IF(SUMIFS('Annotated Papers'!G:G, 'Annotated Papers'!A:A,A252)&gt;0,1,0))</f>
        <v>0</v>
      </c>
      <c r="F252">
        <f ca="1">IF(ISBLANK(A252), "", IF(SUMIFS('Annotated Papers'!H:H, 'Annotated Papers'!A:A,A252)&gt;0,1,0))</f>
        <v>1</v>
      </c>
      <c r="G252" t="e">
        <f ca="1">IF(ISBLANK(A252), "", IF(SUMIFS('Annotated Papers'!I:I, 'Annotated Papers'!A:A,A252)&gt;0,1,0))</f>
        <v>#NAME?</v>
      </c>
      <c r="H252">
        <f ca="1">IF(ISBLANK(A252), "", IF(SUMIFS('Annotated Papers'!L:L, 'Annotated Papers'!A:A,A252)&gt;0,1,0))</f>
        <v>0</v>
      </c>
      <c r="I252" s="24">
        <f ca="1">IF(ISBLANK(A252), "", VLOOKUP(A252,'Annotated Papers'!251:1290,4,FALSE))</f>
        <v>0</v>
      </c>
    </row>
    <row r="253" spans="1:9" ht="14">
      <c r="A253" s="26" t="str">
        <f ca="1">IFERROR(__xludf.DUMMYFUNCTION("""COMPUTED_VALUE"""),"Textual Analogy Parsing: What’s Shared and What’s Compared among Analogous Facts")</f>
        <v>Textual Analogy Parsing: What’s Shared and What’s Compared among Analogous Facts</v>
      </c>
      <c r="B253" t="str">
        <f ca="1">IF(ISBLANK(A253), "", VLOOKUP(A253,'Annotated Papers'!252:1291,2,FALSE))</f>
        <v>NLP</v>
      </c>
      <c r="C253" s="24">
        <f ca="1">IF(ISBLANK(A253), "", VLOOKUP(A253,'Annotated Papers'!252:1291,5,FALSE))</f>
        <v>0</v>
      </c>
      <c r="D253">
        <f ca="1">IF(ISBLANK(A253), "", IF(COUNTIF('Annotated Papers'!A:A,A253)&gt;1,1,0))</f>
        <v>0</v>
      </c>
      <c r="E253">
        <f ca="1">IF(ISBLANK(A253), "", IF(SUMIFS('Annotated Papers'!G:G, 'Annotated Papers'!A:A,A253)&gt;0,1,0))</f>
        <v>0</v>
      </c>
      <c r="F253">
        <f ca="1">IF(ISBLANK(A253), "", IF(SUMIFS('Annotated Papers'!H:H, 'Annotated Papers'!A:A,A253)&gt;0,1,0))</f>
        <v>0</v>
      </c>
      <c r="G253" t="e">
        <f ca="1">IF(ISBLANK(A253), "", IF(SUMIFS('Annotated Papers'!I:I, 'Annotated Papers'!A:A,A253)&gt;0,1,0))</f>
        <v>#NAME?</v>
      </c>
      <c r="H253">
        <f ca="1">IF(ISBLANK(A253), "", IF(SUMIFS('Annotated Papers'!L:L, 'Annotated Papers'!A:A,A253)&gt;0,1,0))</f>
        <v>0</v>
      </c>
      <c r="I253" s="24">
        <f ca="1">IF(ISBLANK(A253), "", VLOOKUP(A253,'Annotated Papers'!252:1291,4,FALSE))</f>
        <v>0</v>
      </c>
    </row>
    <row r="254" spans="1:9" ht="14">
      <c r="A254" s="26" t="str">
        <f ca="1">IFERROR(__xludf.DUMMYFUNCTION("""COMPUTED_VALUE"""),"Extracting Commonsense Properties from Embeddings with Limited
Human Guidance")</f>
        <v>Extracting Commonsense Properties from Embeddings with Limited
Human Guidance</v>
      </c>
      <c r="B254" t="str">
        <f ca="1">IF(ISBLANK(A254), "", VLOOKUP(A254,'Annotated Papers'!253:1292,2,FALSE))</f>
        <v>NLP</v>
      </c>
      <c r="C254" s="24">
        <f ca="1">IF(ISBLANK(A254), "", VLOOKUP(A254,'Annotated Papers'!253:1292,5,FALSE))</f>
        <v>1</v>
      </c>
      <c r="D254">
        <f ca="1">IF(ISBLANK(A254), "", IF(COUNTIF('Annotated Papers'!A:A,A254)&gt;1,1,0))</f>
        <v>1</v>
      </c>
      <c r="E254">
        <f ca="1">IF(ISBLANK(A254), "", IF(SUMIFS('Annotated Papers'!G:G, 'Annotated Papers'!A:A,A254)&gt;0,1,0))</f>
        <v>0</v>
      </c>
      <c r="F254">
        <f ca="1">IF(ISBLANK(A254), "", IF(SUMIFS('Annotated Papers'!H:H, 'Annotated Papers'!A:A,A254)&gt;0,1,0))</f>
        <v>1</v>
      </c>
      <c r="G254" t="e">
        <f ca="1">IF(ISBLANK(A254), "", IF(SUMIFS('Annotated Papers'!I:I, 'Annotated Papers'!A:A,A254)&gt;0,1,0))</f>
        <v>#NAME?</v>
      </c>
      <c r="H254">
        <f ca="1">IF(ISBLANK(A254), "", IF(SUMIFS('Annotated Papers'!L:L, 'Annotated Papers'!A:A,A254)&gt;0,1,0))</f>
        <v>1</v>
      </c>
      <c r="I254" s="24">
        <f ca="1">IF(ISBLANK(A254), "", VLOOKUP(A254,'Annotated Papers'!253:1292,4,FALSE))</f>
        <v>0</v>
      </c>
    </row>
    <row r="255" spans="1:9" ht="14">
      <c r="A255" s="26" t="str">
        <f ca="1">IFERROR(__xludf.DUMMYFUNCTION("""COMPUTED_VALUE"""),"Training Classifiers with Natural Language Explanations")</f>
        <v>Training Classifiers with Natural Language Explanations</v>
      </c>
      <c r="B255" t="str">
        <f ca="1">IF(ISBLANK(A255), "", VLOOKUP(A255,'Annotated Papers'!254:1293,2,FALSE))</f>
        <v>NLP</v>
      </c>
      <c r="C255" s="24">
        <f ca="1">IF(ISBLANK(A255), "", VLOOKUP(A255,'Annotated Papers'!254:1293,5,FALSE))</f>
        <v>1</v>
      </c>
      <c r="D255">
        <f ca="1">IF(ISBLANK(A255), "", IF(COUNTIF('Annotated Papers'!A:A,A255)&gt;1,1,0))</f>
        <v>1</v>
      </c>
      <c r="E255">
        <f ca="1">IF(ISBLANK(A255), "", IF(SUMIFS('Annotated Papers'!G:G, 'Annotated Papers'!A:A,A255)&gt;0,1,0))</f>
        <v>0</v>
      </c>
      <c r="F255">
        <f ca="1">IF(ISBLANK(A255), "", IF(SUMIFS('Annotated Papers'!H:H, 'Annotated Papers'!A:A,A255)&gt;0,1,0))</f>
        <v>1</v>
      </c>
      <c r="G255" t="e">
        <f ca="1">IF(ISBLANK(A255), "", IF(SUMIFS('Annotated Papers'!I:I, 'Annotated Papers'!A:A,A255)&gt;0,1,0))</f>
        <v>#NAME?</v>
      </c>
      <c r="H255">
        <f ca="1">IF(ISBLANK(A255), "", IF(SUMIFS('Annotated Papers'!L:L, 'Annotated Papers'!A:A,A255)&gt;0,1,0))</f>
        <v>0</v>
      </c>
      <c r="I255" s="24">
        <f ca="1">IF(ISBLANK(A255), "", VLOOKUP(A255,'Annotated Papers'!254:1293,4,FALSE))</f>
        <v>0</v>
      </c>
    </row>
    <row r="256" spans="1:9" ht="14">
      <c r="A256" s="26" t="str">
        <f ca="1">IFERROR(__xludf.DUMMYFUNCTION("""COMPUTED_VALUE"""),"Strong Baselines for Neural Semi-Supervised Learning
under Domain Shift")</f>
        <v>Strong Baselines for Neural Semi-Supervised Learning
under Domain Shift</v>
      </c>
      <c r="B256" t="str">
        <f ca="1">IF(ISBLANK(A256), "", VLOOKUP(A256,'Annotated Papers'!255:1294,2,FALSE))</f>
        <v>NLP</v>
      </c>
      <c r="C256" s="24">
        <f ca="1">IF(ISBLANK(A256), "", VLOOKUP(A256,'Annotated Papers'!255:1294,5,FALSE))</f>
        <v>1</v>
      </c>
      <c r="D256">
        <f ca="1">IF(ISBLANK(A256), "", IF(COUNTIF('Annotated Papers'!A:A,A256)&gt;1,1,0))</f>
        <v>1</v>
      </c>
      <c r="E256">
        <f ca="1">IF(ISBLANK(A256), "", IF(SUMIFS('Annotated Papers'!G:G, 'Annotated Papers'!A:A,A256)&gt;0,1,0))</f>
        <v>0</v>
      </c>
      <c r="F256">
        <f ca="1">IF(ISBLANK(A256), "", IF(SUMIFS('Annotated Papers'!H:H, 'Annotated Papers'!A:A,A256)&gt;0,1,0))</f>
        <v>1</v>
      </c>
      <c r="G256" t="e">
        <f ca="1">IF(ISBLANK(A256), "", IF(SUMIFS('Annotated Papers'!I:I, 'Annotated Papers'!A:A,A256)&gt;0,1,0))</f>
        <v>#NAME?</v>
      </c>
      <c r="H256">
        <f ca="1">IF(ISBLANK(A256), "", IF(SUMIFS('Annotated Papers'!L:L, 'Annotated Papers'!A:A,A256)&gt;0,1,0))</f>
        <v>1</v>
      </c>
      <c r="I256" s="24">
        <f ca="1">IF(ISBLANK(A256), "", VLOOKUP(A256,'Annotated Papers'!255:1294,4,FALSE))</f>
        <v>0</v>
      </c>
    </row>
    <row r="257" spans="1:9" ht="14">
      <c r="A257" s="25" t="str">
        <f ca="1">IFERROR(__xludf.DUMMYFUNCTION("""COMPUTED_VALUE"""),"Deep Learning and Quantum Entanglement: Fundamental Connections with Implications to Network Design")</f>
        <v>Deep Learning and Quantum Entanglement: Fundamental Connections with Implications to Network Design</v>
      </c>
      <c r="B257" t="str">
        <f ca="1">IF(ISBLANK(A257), "", VLOOKUP(A257,'Annotated Papers'!256:1295,2,FALSE))</f>
        <v>General</v>
      </c>
      <c r="C257" s="24">
        <f ca="1">IF(ISBLANK(A257), "", VLOOKUP(A257,'Annotated Papers'!256:1295,5,FALSE))</f>
        <v>0</v>
      </c>
      <c r="D257">
        <f ca="1">IF(ISBLANK(A257), "", IF(COUNTIF('Annotated Papers'!A:A,A257)&gt;1,1,0))</f>
        <v>0</v>
      </c>
      <c r="E257">
        <f ca="1">IF(ISBLANK(A257), "", IF(SUMIFS('Annotated Papers'!G:G, 'Annotated Papers'!A:A,A257)&gt;0,1,0))</f>
        <v>0</v>
      </c>
      <c r="F257">
        <f ca="1">IF(ISBLANK(A257), "", IF(SUMIFS('Annotated Papers'!H:H, 'Annotated Papers'!A:A,A257)&gt;0,1,0))</f>
        <v>0</v>
      </c>
      <c r="G257" t="e">
        <f ca="1">IF(ISBLANK(A257), "", IF(SUMIFS('Annotated Papers'!I:I, 'Annotated Papers'!A:A,A257)&gt;0,1,0))</f>
        <v>#NAME?</v>
      </c>
      <c r="H257">
        <f ca="1">IF(ISBLANK(A257), "", IF(SUMIFS('Annotated Papers'!L:L, 'Annotated Papers'!A:A,A257)&gt;0,1,0))</f>
        <v>0</v>
      </c>
      <c r="I257" s="24">
        <f ca="1">IF(ISBLANK(A257), "", VLOOKUP(A257,'Annotated Papers'!256:1295,4,FALSE))</f>
        <v>0</v>
      </c>
    </row>
    <row r="258" spans="1:9" ht="14">
      <c r="A258" s="25" t="str">
        <f ca="1">IFERROR(__xludf.DUMMYFUNCTION("""COMPUTED_VALUE"""),"Concepts-Bridges: Uncovering Conceptual Bridges Based on Biomedical Concept Evolution")</f>
        <v>Concepts-Bridges: Uncovering Conceptual Bridges Based on Biomedical Concept Evolution</v>
      </c>
      <c r="B258" t="str">
        <f ca="1">IF(ISBLANK(A258), "", VLOOKUP(A258,'Annotated Papers'!257:1296,2,FALSE))</f>
        <v>General</v>
      </c>
      <c r="C258" s="24">
        <f ca="1">IF(ISBLANK(A258), "", VLOOKUP(A258,'Annotated Papers'!257:1296,5,FALSE))</f>
        <v>1</v>
      </c>
      <c r="D258">
        <f ca="1">IF(ISBLANK(A258), "", IF(COUNTIF('Annotated Papers'!A:A,A258)&gt;1,1,0))</f>
        <v>0</v>
      </c>
      <c r="E258">
        <f ca="1">IF(ISBLANK(A258), "", IF(SUMIFS('Annotated Papers'!G:G, 'Annotated Papers'!A:A,A258)&gt;0,1,0))</f>
        <v>0</v>
      </c>
      <c r="F258">
        <f ca="1">IF(ISBLANK(A258), "", IF(SUMIFS('Annotated Papers'!H:H, 'Annotated Papers'!A:A,A258)&gt;0,1,0))</f>
        <v>1</v>
      </c>
      <c r="G258" t="e">
        <f ca="1">IF(ISBLANK(A258), "", IF(SUMIFS('Annotated Papers'!I:I, 'Annotated Papers'!A:A,A258)&gt;0,1,0))</f>
        <v>#NAME?</v>
      </c>
      <c r="H258">
        <f ca="1">IF(ISBLANK(A258), "", IF(SUMIFS('Annotated Papers'!L:L, 'Annotated Papers'!A:A,A258)&gt;0,1,0))</f>
        <v>1</v>
      </c>
      <c r="I258" s="24">
        <f ca="1">IF(ISBLANK(A258), "", VLOOKUP(A258,'Annotated Papers'!257:1296,4,FALSE))</f>
        <v>0</v>
      </c>
    </row>
    <row r="259" spans="1:9" ht="14">
      <c r="A259" s="25" t="str">
        <f ca="1">IFERROR(__xludf.DUMMYFUNCTION("""COMPUTED_VALUE"""),"BagMinHash – Minwise Hashing Algorithm for Weighted Sets")</f>
        <v>BagMinHash – Minwise Hashing Algorithm for Weighted Sets</v>
      </c>
      <c r="B259" t="str">
        <f ca="1">IF(ISBLANK(A259), "", VLOOKUP(A259,'Annotated Papers'!258:1297,2,FALSE))</f>
        <v>General</v>
      </c>
      <c r="C259" s="24">
        <f ca="1">IF(ISBLANK(A259), "", VLOOKUP(A259,'Annotated Papers'!258:1297,5,FALSE))</f>
        <v>1</v>
      </c>
      <c r="D259">
        <f ca="1">IF(ISBLANK(A259), "", IF(COUNTIF('Annotated Papers'!A:A,A259)&gt;1,1,0))</f>
        <v>0</v>
      </c>
      <c r="E259">
        <f ca="1">IF(ISBLANK(A259), "", IF(SUMIFS('Annotated Papers'!G:G, 'Annotated Papers'!A:A,A259)&gt;0,1,0))</f>
        <v>0</v>
      </c>
      <c r="F259">
        <f ca="1">IF(ISBLANK(A259), "", IF(SUMIFS('Annotated Papers'!H:H, 'Annotated Papers'!A:A,A259)&gt;0,1,0))</f>
        <v>1</v>
      </c>
      <c r="G259" t="e">
        <f ca="1">IF(ISBLANK(A259), "", IF(SUMIFS('Annotated Papers'!I:I, 'Annotated Papers'!A:A,A259)&gt;0,1,0))</f>
        <v>#NAME?</v>
      </c>
      <c r="H259">
        <f ca="1">IF(ISBLANK(A259), "", IF(SUMIFS('Annotated Papers'!L:L, 'Annotated Papers'!A:A,A259)&gt;0,1,0))</f>
        <v>1</v>
      </c>
      <c r="I259" s="24">
        <f ca="1">IF(ISBLANK(A259), "", VLOOKUP(A259,'Annotated Papers'!258:1297,4,FALSE))</f>
        <v>0</v>
      </c>
    </row>
    <row r="260" spans="1:9" ht="14">
      <c r="A260" s="25" t="str">
        <f ca="1">IFERROR(__xludf.DUMMYFUNCTION("""COMPUTED_VALUE"""),"Optimal Distributed Submodular Optimization via Sketching")</f>
        <v>Optimal Distributed Submodular Optimization via Sketching</v>
      </c>
      <c r="B260" t="str">
        <f ca="1">IF(ISBLANK(A260), "", VLOOKUP(A260,'Annotated Papers'!259:1298,2,FALSE))</f>
        <v>General</v>
      </c>
      <c r="C260" s="24">
        <f ca="1">IF(ISBLANK(A260), "", VLOOKUP(A260,'Annotated Papers'!259:1298,5,FALSE))</f>
        <v>0</v>
      </c>
      <c r="D260">
        <f ca="1">IF(ISBLANK(A260), "", IF(COUNTIF('Annotated Papers'!A:A,A260)&gt;1,1,0))</f>
        <v>1</v>
      </c>
      <c r="E260">
        <f ca="1">IF(ISBLANK(A260), "", IF(SUMIFS('Annotated Papers'!G:G, 'Annotated Papers'!A:A,A260)&gt;0,1,0))</f>
        <v>0</v>
      </c>
      <c r="F260">
        <f ca="1">IF(ISBLANK(A260), "", IF(SUMIFS('Annotated Papers'!H:H, 'Annotated Papers'!A:A,A260)&gt;0,1,0))</f>
        <v>1</v>
      </c>
      <c r="G260" t="e">
        <f ca="1">IF(ISBLANK(A260), "", IF(SUMIFS('Annotated Papers'!I:I, 'Annotated Papers'!A:A,A260)&gt;0,1,0))</f>
        <v>#NAME?</v>
      </c>
      <c r="H260">
        <f ca="1">IF(ISBLANK(A260), "", IF(SUMIFS('Annotated Papers'!L:L, 'Annotated Papers'!A:A,A260)&gt;0,1,0))</f>
        <v>0</v>
      </c>
      <c r="I260" s="24">
        <f ca="1">IF(ISBLANK(A260), "", VLOOKUP(A260,'Annotated Papers'!259:1298,4,FALSE))</f>
        <v>0</v>
      </c>
    </row>
    <row r="261" spans="1:9" ht="14">
      <c r="A261" s="25" t="str">
        <f ca="1">IFERROR(__xludf.DUMMYFUNCTION("""COMPUTED_VALUE"""),"Model-based Clustering of Short Text Streams")</f>
        <v>Model-based Clustering of Short Text Streams</v>
      </c>
      <c r="B261" t="str">
        <f ca="1">IF(ISBLANK(A261), "", VLOOKUP(A261,'Annotated Papers'!260:1299,2,FALSE))</f>
        <v>General</v>
      </c>
      <c r="C261" s="24">
        <f ca="1">IF(ISBLANK(A261), "", VLOOKUP(A261,'Annotated Papers'!260:1299,5,FALSE))</f>
        <v>1</v>
      </c>
      <c r="D261">
        <f ca="1">IF(ISBLANK(A261), "", IF(COUNTIF('Annotated Papers'!A:A,A261)&gt;1,1,0))</f>
        <v>1</v>
      </c>
      <c r="E261">
        <f ca="1">IF(ISBLANK(A261), "", IF(SUMIFS('Annotated Papers'!G:G, 'Annotated Papers'!A:A,A261)&gt;0,1,0))</f>
        <v>0</v>
      </c>
      <c r="F261">
        <f ca="1">IF(ISBLANK(A261), "", IF(SUMIFS('Annotated Papers'!H:H, 'Annotated Papers'!A:A,A261)&gt;0,1,0))</f>
        <v>1</v>
      </c>
      <c r="G261" t="e">
        <f ca="1">IF(ISBLANK(A261), "", IF(SUMIFS('Annotated Papers'!I:I, 'Annotated Papers'!A:A,A261)&gt;0,1,0))</f>
        <v>#NAME?</v>
      </c>
      <c r="H261">
        <f ca="1">IF(ISBLANK(A261), "", IF(SUMIFS('Annotated Papers'!L:L, 'Annotated Papers'!A:A,A261)&gt;0,1,0))</f>
        <v>1</v>
      </c>
      <c r="I261" s="24">
        <f ca="1">IF(ISBLANK(A261), "", VLOOKUP(A261,'Annotated Papers'!260:1299,4,FALSE))</f>
        <v>0</v>
      </c>
    </row>
    <row r="262" spans="1:9" ht="14">
      <c r="A262" s="26" t="str">
        <f ca="1">IFERROR(__xludf.DUMMYFUNCTION("""COMPUTED_VALUE"""),"A Melody-conditioned Lyrics Language Model")</f>
        <v>A Melody-conditioned Lyrics Language Model</v>
      </c>
      <c r="B262" t="str">
        <f ca="1">IF(ISBLANK(A262), "", VLOOKUP(A262,'Annotated Papers'!261:1300,2,FALSE))</f>
        <v>NLP</v>
      </c>
      <c r="C262" s="24">
        <f ca="1">IF(ISBLANK(A262), "", VLOOKUP(A262,'Annotated Papers'!261:1300,5,FALSE))</f>
        <v>0</v>
      </c>
      <c r="D262">
        <f ca="1">IF(ISBLANK(A262), "", IF(COUNTIF('Annotated Papers'!A:A,A262)&gt;1,1,0))</f>
        <v>0</v>
      </c>
      <c r="E262">
        <f ca="1">IF(ISBLANK(A262), "", IF(SUMIFS('Annotated Papers'!G:G, 'Annotated Papers'!A:A,A262)&gt;0,1,0))</f>
        <v>0</v>
      </c>
      <c r="F262">
        <f ca="1">IF(ISBLANK(A262), "", IF(SUMIFS('Annotated Papers'!H:H, 'Annotated Papers'!A:A,A262)&gt;0,1,0))</f>
        <v>1</v>
      </c>
      <c r="G262" t="e">
        <f ca="1">IF(ISBLANK(A262), "", IF(SUMIFS('Annotated Papers'!I:I, 'Annotated Papers'!A:A,A262)&gt;0,1,0))</f>
        <v>#NAME?</v>
      </c>
      <c r="H262">
        <f ca="1">IF(ISBLANK(A262), "", IF(SUMIFS('Annotated Papers'!L:L, 'Annotated Papers'!A:A,A262)&gt;0,1,0))</f>
        <v>1</v>
      </c>
      <c r="I262" s="24">
        <f ca="1">IF(ISBLANK(A262), "", VLOOKUP(A262,'Annotated Papers'!261:1300,4,FALSE))</f>
        <v>0</v>
      </c>
    </row>
    <row r="263" spans="1:9" ht="14">
      <c r="A263" s="26" t="str">
        <f ca="1">IFERROR(__xludf.DUMMYFUNCTION("""COMPUTED_VALUE"""),"Discourse-Aware Neural Rewards for Coherent Text Generation")</f>
        <v>Discourse-Aware Neural Rewards for Coherent Text Generation</v>
      </c>
      <c r="B263" t="str">
        <f ca="1">IF(ISBLANK(A263), "", VLOOKUP(A263,'Annotated Papers'!262:1301,2,FALSE))</f>
        <v>NLP</v>
      </c>
      <c r="C263" s="24">
        <f ca="1">IF(ISBLANK(A263), "", VLOOKUP(A263,'Annotated Papers'!262:1301,5,FALSE))</f>
        <v>0</v>
      </c>
      <c r="D263">
        <f ca="1">IF(ISBLANK(A263), "", IF(COUNTIF('Annotated Papers'!A:A,A263)&gt;1,1,0))</f>
        <v>0</v>
      </c>
      <c r="E263">
        <f ca="1">IF(ISBLANK(A263), "", IF(SUMIFS('Annotated Papers'!G:G, 'Annotated Papers'!A:A,A263)&gt;0,1,0))</f>
        <v>0</v>
      </c>
      <c r="F263">
        <f ca="1">IF(ISBLANK(A263), "", IF(SUMIFS('Annotated Papers'!H:H, 'Annotated Papers'!A:A,A263)&gt;0,1,0))</f>
        <v>1</v>
      </c>
      <c r="G263" t="e">
        <f ca="1">IF(ISBLANK(A263), "", IF(SUMIFS('Annotated Papers'!I:I, 'Annotated Papers'!A:A,A263)&gt;0,1,0))</f>
        <v>#NAME?</v>
      </c>
      <c r="H263">
        <f ca="1">IF(ISBLANK(A263), "", IF(SUMIFS('Annotated Papers'!L:L, 'Annotated Papers'!A:A,A263)&gt;0,1,0))</f>
        <v>0</v>
      </c>
      <c r="I263" s="24">
        <f ca="1">IF(ISBLANK(A263), "", VLOOKUP(A263,'Annotated Papers'!262:1301,4,FALSE))</f>
        <v>0</v>
      </c>
    </row>
    <row r="264" spans="1:9" ht="14">
      <c r="A264" s="26" t="str">
        <f ca="1">IFERROR(__xludf.DUMMYFUNCTION("""COMPUTED_VALUE"""),"Natural Answer Generation with Heterogeneous Memory")</f>
        <v>Natural Answer Generation with Heterogeneous Memory</v>
      </c>
      <c r="B264" t="str">
        <f ca="1">IF(ISBLANK(A264), "", VLOOKUP(A264,'Annotated Papers'!263:1302,2,FALSE))</f>
        <v>NLP</v>
      </c>
      <c r="C264" s="24">
        <f ca="1">IF(ISBLANK(A264), "", VLOOKUP(A264,'Annotated Papers'!263:1302,5,FALSE))</f>
        <v>0</v>
      </c>
      <c r="D264">
        <f ca="1">IF(ISBLANK(A264), "", IF(COUNTIF('Annotated Papers'!A:A,A264)&gt;1,1,0))</f>
        <v>1</v>
      </c>
      <c r="E264">
        <f ca="1">IF(ISBLANK(A264), "", IF(SUMIFS('Annotated Papers'!G:G, 'Annotated Papers'!A:A,A264)&gt;0,1,0))</f>
        <v>0</v>
      </c>
      <c r="F264">
        <f ca="1">IF(ISBLANK(A264), "", IF(SUMIFS('Annotated Papers'!H:H, 'Annotated Papers'!A:A,A264)&gt;0,1,0))</f>
        <v>0</v>
      </c>
      <c r="G264" t="e">
        <f ca="1">IF(ISBLANK(A264), "", IF(SUMIFS('Annotated Papers'!I:I, 'Annotated Papers'!A:A,A264)&gt;0,1,0))</f>
        <v>#NAME?</v>
      </c>
      <c r="H264">
        <f ca="1">IF(ISBLANK(A264), "", IF(SUMIFS('Annotated Papers'!L:L, 'Annotated Papers'!A:A,A264)&gt;0,1,0))</f>
        <v>0</v>
      </c>
      <c r="I264" s="24">
        <f ca="1">IF(ISBLANK(A264), "", VLOOKUP(A264,'Annotated Papers'!263:1302,4,FALSE))</f>
        <v>0</v>
      </c>
    </row>
    <row r="265" spans="1:9" ht="14">
      <c r="A265" s="26" t="str">
        <f ca="1">IFERROR(__xludf.DUMMYFUNCTION("""COMPUTED_VALUE"""),"Improving Abstraction in Text Summarization")</f>
        <v>Improving Abstraction in Text Summarization</v>
      </c>
      <c r="B265" t="str">
        <f ca="1">IF(ISBLANK(A265), "", VLOOKUP(A265,'Annotated Papers'!264:1303,2,FALSE))</f>
        <v>NLP</v>
      </c>
      <c r="C265" s="24">
        <f ca="1">IF(ISBLANK(A265), "", VLOOKUP(A265,'Annotated Papers'!264:1303,5,FALSE))</f>
        <v>0</v>
      </c>
      <c r="D265">
        <f ca="1">IF(ISBLANK(A265), "", IF(COUNTIF('Annotated Papers'!A:A,A265)&gt;1,1,0))</f>
        <v>1</v>
      </c>
      <c r="E265">
        <f ca="1">IF(ISBLANK(A265), "", IF(SUMIFS('Annotated Papers'!G:G, 'Annotated Papers'!A:A,A265)&gt;0,1,0))</f>
        <v>0</v>
      </c>
      <c r="F265">
        <f ca="1">IF(ISBLANK(A265), "", IF(SUMIFS('Annotated Papers'!H:H, 'Annotated Papers'!A:A,A265)&gt;0,1,0))</f>
        <v>1</v>
      </c>
      <c r="G265" t="e">
        <f ca="1">IF(ISBLANK(A265), "", IF(SUMIFS('Annotated Papers'!I:I, 'Annotated Papers'!A:A,A265)&gt;0,1,0))</f>
        <v>#NAME?</v>
      </c>
      <c r="H265">
        <f ca="1">IF(ISBLANK(A265), "", IF(SUMIFS('Annotated Papers'!L:L, 'Annotated Papers'!A:A,A265)&gt;0,1,0))</f>
        <v>1</v>
      </c>
      <c r="I265" s="24">
        <f ca="1">IF(ISBLANK(A265), "", VLOOKUP(A265,'Annotated Papers'!264:1303,4,FALSE))</f>
        <v>0</v>
      </c>
    </row>
    <row r="266" spans="1:9" ht="14">
      <c r="A266" s="26" t="str">
        <f ca="1">IFERROR(__xludf.DUMMYFUNCTION("""COMPUTED_VALUE"""),"Hierarchical Neural Networks for Sequential Sentence Classification in
Medical Scientific Abstracts")</f>
        <v>Hierarchical Neural Networks for Sequential Sentence Classification in
Medical Scientific Abstracts</v>
      </c>
      <c r="B266" t="str">
        <f ca="1">IF(ISBLANK(A266), "", VLOOKUP(A266,'Annotated Papers'!265:1304,2,FALSE))</f>
        <v>NLP</v>
      </c>
      <c r="C266" s="24">
        <f ca="1">IF(ISBLANK(A266), "", VLOOKUP(A266,'Annotated Papers'!265:1304,5,FALSE))</f>
        <v>1</v>
      </c>
      <c r="D266">
        <f ca="1">IF(ISBLANK(A266), "", IF(COUNTIF('Annotated Papers'!A:A,A266)&gt;1,1,0))</f>
        <v>1</v>
      </c>
      <c r="E266">
        <f ca="1">IF(ISBLANK(A266), "", IF(SUMIFS('Annotated Papers'!G:G, 'Annotated Papers'!A:A,A266)&gt;0,1,0))</f>
        <v>0</v>
      </c>
      <c r="F266">
        <f ca="1">IF(ISBLANK(A266), "", IF(SUMIFS('Annotated Papers'!H:H, 'Annotated Papers'!A:A,A266)&gt;0,1,0))</f>
        <v>1</v>
      </c>
      <c r="G266" t="e">
        <f ca="1">IF(ISBLANK(A266), "", IF(SUMIFS('Annotated Papers'!I:I, 'Annotated Papers'!A:A,A266)&gt;0,1,0))</f>
        <v>#NAME?</v>
      </c>
      <c r="H266">
        <f ca="1">IF(ISBLANK(A266), "", IF(SUMIFS('Annotated Papers'!L:L, 'Annotated Papers'!A:A,A266)&gt;0,1,0))</f>
        <v>0</v>
      </c>
      <c r="I266" s="24">
        <f ca="1">IF(ISBLANK(A266), "", VLOOKUP(A266,'Annotated Papers'!265:1304,4,FALSE))</f>
        <v>0</v>
      </c>
    </row>
    <row r="267" spans="1:9" ht="14">
      <c r="A267" s="26" t="str">
        <f ca="1">IFERROR(__xludf.DUMMYFUNCTION("""COMPUTED_VALUE"""),"Modeling Localness for Self-Attention Networks")</f>
        <v>Modeling Localness for Self-Attention Networks</v>
      </c>
      <c r="B267" t="str">
        <f ca="1">IF(ISBLANK(A267), "", VLOOKUP(A267,'Annotated Papers'!266:1305,2,FALSE))</f>
        <v>NLP</v>
      </c>
      <c r="C267" s="24">
        <f ca="1">IF(ISBLANK(A267), "", VLOOKUP(A267,'Annotated Papers'!266:1305,5,FALSE))</f>
        <v>0</v>
      </c>
      <c r="D267">
        <f ca="1">IF(ISBLANK(A267), "", IF(COUNTIF('Annotated Papers'!A:A,A267)&gt;1,1,0))</f>
        <v>1</v>
      </c>
      <c r="E267">
        <f ca="1">IF(ISBLANK(A267), "", IF(SUMIFS('Annotated Papers'!G:G, 'Annotated Papers'!A:A,A267)&gt;0,1,0))</f>
        <v>0</v>
      </c>
      <c r="F267">
        <f ca="1">IF(ISBLANK(A267), "", IF(SUMIFS('Annotated Papers'!H:H, 'Annotated Papers'!A:A,A267)&gt;0,1,0))</f>
        <v>1</v>
      </c>
      <c r="G267" t="e">
        <f ca="1">IF(ISBLANK(A267), "", IF(SUMIFS('Annotated Papers'!I:I, 'Annotated Papers'!A:A,A267)&gt;0,1,0))</f>
        <v>#NAME?</v>
      </c>
      <c r="H267">
        <f ca="1">IF(ISBLANK(A267), "", IF(SUMIFS('Annotated Papers'!L:L, 'Annotated Papers'!A:A,A267)&gt;0,1,0))</f>
        <v>0</v>
      </c>
      <c r="I267" s="24">
        <f ca="1">IF(ISBLANK(A267), "", VLOOKUP(A267,'Annotated Papers'!266:1305,4,FALSE))</f>
        <v>0</v>
      </c>
    </row>
    <row r="268" spans="1:9" ht="14">
      <c r="A268" s="25" t="str">
        <f ca="1">IFERROR(__xludf.DUMMYFUNCTION("""COMPUTED_VALUE"""),"Mitigating Adversarial Effects Through Randomization")</f>
        <v>Mitigating Adversarial Effects Through Randomization</v>
      </c>
      <c r="B268" t="str">
        <f ca="1">IF(ISBLANK(A268), "", VLOOKUP(A268,'Annotated Papers'!267:1306,2,FALSE))</f>
        <v>General</v>
      </c>
      <c r="C268" s="24">
        <f ca="1">IF(ISBLANK(A268), "", VLOOKUP(A268,'Annotated Papers'!267:1306,5,FALSE))</f>
        <v>1</v>
      </c>
      <c r="D268">
        <f ca="1">IF(ISBLANK(A268), "", IF(COUNTIF('Annotated Papers'!A:A,A268)&gt;1,1,0))</f>
        <v>0</v>
      </c>
      <c r="E268">
        <f ca="1">IF(ISBLANK(A268), "", IF(SUMIFS('Annotated Papers'!G:G, 'Annotated Papers'!A:A,A268)&gt;0,1,0))</f>
        <v>0</v>
      </c>
      <c r="F268">
        <f ca="1">IF(ISBLANK(A268), "", IF(SUMIFS('Annotated Papers'!H:H, 'Annotated Papers'!A:A,A268)&gt;0,1,0))</f>
        <v>1</v>
      </c>
      <c r="G268" t="e">
        <f ca="1">IF(ISBLANK(A268), "", IF(SUMIFS('Annotated Papers'!I:I, 'Annotated Papers'!A:A,A268)&gt;0,1,0))</f>
        <v>#NAME?</v>
      </c>
      <c r="H268">
        <f ca="1">IF(ISBLANK(A268), "", IF(SUMIFS('Annotated Papers'!L:L, 'Annotated Papers'!A:A,A268)&gt;0,1,0))</f>
        <v>0</v>
      </c>
      <c r="I268" s="24">
        <f ca="1">IF(ISBLANK(A268), "", VLOOKUP(A268,'Annotated Papers'!267:1306,4,FALSE))</f>
        <v>0</v>
      </c>
    </row>
    <row r="269" spans="1:9" ht="14">
      <c r="A269" s="25" t="str">
        <f ca="1">IFERROR(__xludf.DUMMYFUNCTION("""COMPUTED_VALUE"""),"Hierarchical Representations for Efficient Architecture Search")</f>
        <v>Hierarchical Representations for Efficient Architecture Search</v>
      </c>
      <c r="B269" t="str">
        <f ca="1">IF(ISBLANK(A269), "", VLOOKUP(A269,'Annotated Papers'!268:1307,2,FALSE))</f>
        <v>General</v>
      </c>
      <c r="C269" s="24">
        <f ca="1">IF(ISBLANK(A269), "", VLOOKUP(A269,'Annotated Papers'!268:1307,5,FALSE))</f>
        <v>0</v>
      </c>
      <c r="D269">
        <f ca="1">IF(ISBLANK(A269), "", IF(COUNTIF('Annotated Papers'!A:A,A269)&gt;1,1,0))</f>
        <v>0</v>
      </c>
      <c r="E269">
        <f ca="1">IF(ISBLANK(A269), "", IF(SUMIFS('Annotated Papers'!G:G, 'Annotated Papers'!A:A,A269)&gt;0,1,0))</f>
        <v>0</v>
      </c>
      <c r="F269">
        <f ca="1">IF(ISBLANK(A269), "", IF(SUMIFS('Annotated Papers'!H:H, 'Annotated Papers'!A:A,A269)&gt;0,1,0))</f>
        <v>1</v>
      </c>
      <c r="G269">
        <f ca="1">IF(ISBLANK(A269), "", IF(SUMIFS('Annotated Papers'!I:I, 'Annotated Papers'!A:A,A269)&gt;0,1,0))</f>
        <v>0</v>
      </c>
      <c r="H269">
        <f ca="1">IF(ISBLANK(A269), "", IF(SUMIFS('Annotated Papers'!L:L, 'Annotated Papers'!A:A,A269)&gt;0,1,0))</f>
        <v>1</v>
      </c>
      <c r="I269" s="24">
        <f ca="1">IF(ISBLANK(A269), "", VLOOKUP(A269,'Annotated Papers'!268:1307,4,FALSE))</f>
        <v>0</v>
      </c>
    </row>
    <row r="270" spans="1:9" ht="14">
      <c r="A270" s="25" t="str">
        <f ca="1">IFERROR(__xludf.DUMMYFUNCTION("""COMPUTED_VALUE"""),"Continuous Adaptation via Meta-Learning in Nonstationary and Competitive Environments")</f>
        <v>Continuous Adaptation via Meta-Learning in Nonstationary and Competitive Environments</v>
      </c>
      <c r="B270" t="str">
        <f ca="1">IF(ISBLANK(A270), "", VLOOKUP(A270,'Annotated Papers'!269:1308,2,FALSE))</f>
        <v>General</v>
      </c>
      <c r="C270" s="24">
        <f ca="1">IF(ISBLANK(A270), "", VLOOKUP(A270,'Annotated Papers'!269:1308,5,FALSE))</f>
        <v>1</v>
      </c>
      <c r="D270">
        <f ca="1">IF(ISBLANK(A270), "", IF(COUNTIF('Annotated Papers'!A:A,A270)&gt;1,1,0))</f>
        <v>0</v>
      </c>
      <c r="E270">
        <f ca="1">IF(ISBLANK(A270), "", IF(SUMIFS('Annotated Papers'!G:G, 'Annotated Papers'!A:A,A270)&gt;0,1,0))</f>
        <v>0</v>
      </c>
      <c r="F270">
        <f ca="1">IF(ISBLANK(A270), "", IF(SUMIFS('Annotated Papers'!H:H, 'Annotated Papers'!A:A,A270)&gt;0,1,0))</f>
        <v>1</v>
      </c>
      <c r="G270" t="e">
        <f ca="1">IF(ISBLANK(A270), "", IF(SUMIFS('Annotated Papers'!I:I, 'Annotated Papers'!A:A,A270)&gt;0,1,0))</f>
        <v>#NAME?</v>
      </c>
      <c r="H270">
        <f ca="1">IF(ISBLANK(A270), "", IF(SUMIFS('Annotated Papers'!L:L, 'Annotated Papers'!A:A,A270)&gt;0,1,0))</f>
        <v>1</v>
      </c>
      <c r="I270" s="24">
        <f ca="1">IF(ISBLANK(A270), "", VLOOKUP(A270,'Annotated Papers'!269:1308,4,FALSE))</f>
        <v>0</v>
      </c>
    </row>
    <row r="271" spans="1:9" ht="14">
      <c r="A271" s="25" t="str">
        <f ca="1">IFERROR(__xludf.DUMMYFUNCTION("""COMPUTED_VALUE"""),"Compressing Word Embeddings via Deep Compositional Code Learning")</f>
        <v>Compressing Word Embeddings via Deep Compositional Code Learning</v>
      </c>
      <c r="B271" t="str">
        <f ca="1">IF(ISBLANK(A271), "", VLOOKUP(A271,'Annotated Papers'!270:1309,2,FALSE))</f>
        <v>General</v>
      </c>
      <c r="C271" s="24">
        <f ca="1">IF(ISBLANK(A271), "", VLOOKUP(A271,'Annotated Papers'!270:1309,5,FALSE))</f>
        <v>1</v>
      </c>
      <c r="D271">
        <f ca="1">IF(ISBLANK(A271), "", IF(COUNTIF('Annotated Papers'!A:A,A271)&gt;1,1,0))</f>
        <v>0</v>
      </c>
      <c r="E271">
        <f ca="1">IF(ISBLANK(A271), "", IF(SUMIFS('Annotated Papers'!G:G, 'Annotated Papers'!A:A,A271)&gt;0,1,0))</f>
        <v>0</v>
      </c>
      <c r="F271">
        <f ca="1">IF(ISBLANK(A271), "", IF(SUMIFS('Annotated Papers'!H:H, 'Annotated Papers'!A:A,A271)&gt;0,1,0))</f>
        <v>1</v>
      </c>
      <c r="G271" t="e">
        <f ca="1">IF(ISBLANK(A271), "", IF(SUMIFS('Annotated Papers'!I:I, 'Annotated Papers'!A:A,A271)&gt;0,1,0))</f>
        <v>#NAME?</v>
      </c>
      <c r="H271">
        <f ca="1">IF(ISBLANK(A271), "", IF(SUMIFS('Annotated Papers'!L:L, 'Annotated Papers'!A:A,A271)&gt;0,1,0))</f>
        <v>0</v>
      </c>
      <c r="I271" s="24">
        <f ca="1">IF(ISBLANK(A271), "", VLOOKUP(A271,'Annotated Papers'!270:1309,4,FALSE))</f>
        <v>0</v>
      </c>
    </row>
    <row r="272" spans="1:9" ht="14">
      <c r="A272" s="25" t="str">
        <f ca="1">IFERROR(__xludf.DUMMYFUNCTION("""COMPUTED_VALUE"""),"Algorithms for Trip-Vehicle Assignment in Ride-Sharing")</f>
        <v>Algorithms for Trip-Vehicle Assignment in Ride-Sharing</v>
      </c>
      <c r="B272" t="str">
        <f ca="1">IF(ISBLANK(A272), "", VLOOKUP(A272,'Annotated Papers'!271:1310,2,FALSE))</f>
        <v>General</v>
      </c>
      <c r="C272" s="24">
        <f ca="1">IF(ISBLANK(A272), "", VLOOKUP(A272,'Annotated Papers'!271:1310,5,FALSE))</f>
        <v>0</v>
      </c>
      <c r="D272">
        <f ca="1">IF(ISBLANK(A272), "", IF(COUNTIF('Annotated Papers'!A:A,A272)&gt;1,1,0))</f>
        <v>0</v>
      </c>
      <c r="E272">
        <f ca="1">IF(ISBLANK(A272), "", IF(SUMIFS('Annotated Papers'!G:G, 'Annotated Papers'!A:A,A272)&gt;0,1,0))</f>
        <v>0</v>
      </c>
      <c r="F272">
        <f ca="1">IF(ISBLANK(A272), "", IF(SUMIFS('Annotated Papers'!H:H, 'Annotated Papers'!A:A,A272)&gt;0,1,0))</f>
        <v>1</v>
      </c>
      <c r="G272" t="e">
        <f ca="1">IF(ISBLANK(A272), "", IF(SUMIFS('Annotated Papers'!I:I, 'Annotated Papers'!A:A,A272)&gt;0,1,0))</f>
        <v>#NAME?</v>
      </c>
      <c r="H272">
        <f ca="1">IF(ISBLANK(A272), "", IF(SUMIFS('Annotated Papers'!L:L, 'Annotated Papers'!A:A,A272)&gt;0,1,0))</f>
        <v>0</v>
      </c>
      <c r="I272" s="24">
        <f ca="1">IF(ISBLANK(A272), "", VLOOKUP(A272,'Annotated Papers'!271:1310,4,FALSE))</f>
        <v>0</v>
      </c>
    </row>
    <row r="273" spans="1:9" ht="14">
      <c r="A273" s="25" t="str">
        <f ca="1">IFERROR(__xludf.DUMMYFUNCTION("""COMPUTED_VALUE"""),"EAD: Elastic-Net Attacks to Deep Neural Networks via Adversarial Examples")</f>
        <v>EAD: Elastic-Net Attacks to Deep Neural Networks via Adversarial Examples</v>
      </c>
      <c r="B273" t="str">
        <f ca="1">IF(ISBLANK(A273), "", VLOOKUP(A273,'Annotated Papers'!272:1311,2,FALSE))</f>
        <v>General</v>
      </c>
      <c r="C273" s="24">
        <f ca="1">IF(ISBLANK(A273), "", VLOOKUP(A273,'Annotated Papers'!272:1311,5,FALSE))</f>
        <v>1</v>
      </c>
      <c r="D273">
        <f ca="1">IF(ISBLANK(A273), "", IF(COUNTIF('Annotated Papers'!A:A,A273)&gt;1,1,0))</f>
        <v>1</v>
      </c>
      <c r="E273">
        <f ca="1">IF(ISBLANK(A273), "", IF(SUMIFS('Annotated Papers'!G:G, 'Annotated Papers'!A:A,A273)&gt;0,1,0))</f>
        <v>0</v>
      </c>
      <c r="F273">
        <f ca="1">IF(ISBLANK(A273), "", IF(SUMIFS('Annotated Papers'!H:H, 'Annotated Papers'!A:A,A273)&gt;0,1,0))</f>
        <v>1</v>
      </c>
      <c r="G273" t="e">
        <f ca="1">IF(ISBLANK(A273), "", IF(SUMIFS('Annotated Papers'!I:I, 'Annotated Papers'!A:A,A273)&gt;0,1,0))</f>
        <v>#NAME?</v>
      </c>
      <c r="H273">
        <f ca="1">IF(ISBLANK(A273), "", IF(SUMIFS('Annotated Papers'!L:L, 'Annotated Papers'!A:A,A273)&gt;0,1,0))</f>
        <v>0</v>
      </c>
      <c r="I273" s="24">
        <f ca="1">IF(ISBLANK(A273), "", VLOOKUP(A273,'Annotated Papers'!272:1311,4,FALSE))</f>
        <v>0</v>
      </c>
    </row>
    <row r="274" spans="1:9" ht="14">
      <c r="A274" s="25" t="str">
        <f ca="1">IFERROR(__xludf.DUMMYFUNCTION("""COMPUTED_VALUE"""),"Learning Differences between Visual Scanning Patterns Can Disambiguate Bipolar and Unipolar Patients")</f>
        <v>Learning Differences between Visual Scanning Patterns Can Disambiguate Bipolar and Unipolar Patients</v>
      </c>
      <c r="B274" t="str">
        <f ca="1">IF(ISBLANK(A274), "", VLOOKUP(A274,'Annotated Papers'!273:1312,2,FALSE))</f>
        <v>General</v>
      </c>
      <c r="C274" s="24">
        <f ca="1">IF(ISBLANK(A274), "", VLOOKUP(A274,'Annotated Papers'!273:1312,5,FALSE))</f>
        <v>0</v>
      </c>
      <c r="D274">
        <f ca="1">IF(ISBLANK(A274), "", IF(COUNTIF('Annotated Papers'!A:A,A274)&gt;1,1,0))</f>
        <v>0</v>
      </c>
      <c r="E274">
        <f ca="1">IF(ISBLANK(A274), "", IF(SUMIFS('Annotated Papers'!G:G, 'Annotated Papers'!A:A,A274)&gt;0,1,0))</f>
        <v>1</v>
      </c>
      <c r="F274">
        <f ca="1">IF(ISBLANK(A274), "", IF(SUMIFS('Annotated Papers'!H:H, 'Annotated Papers'!A:A,A274)&gt;0,1,0))</f>
        <v>0</v>
      </c>
      <c r="G274" t="e">
        <f ca="1">IF(ISBLANK(A274), "", IF(SUMIFS('Annotated Papers'!I:I, 'Annotated Papers'!A:A,A274)&gt;0,1,0))</f>
        <v>#NAME?</v>
      </c>
      <c r="H274">
        <f ca="1">IF(ISBLANK(A274), "", IF(SUMIFS('Annotated Papers'!L:L, 'Annotated Papers'!A:A,A274)&gt;0,1,0))</f>
        <v>0</v>
      </c>
      <c r="I274" s="24">
        <f ca="1">IF(ISBLANK(A274), "", VLOOKUP(A274,'Annotated Papers'!273:1312,4,FALSE))</f>
        <v>0</v>
      </c>
    </row>
    <row r="275" spans="1:9" ht="14">
      <c r="A275" s="25" t="str">
        <f ca="1">IFERROR(__xludf.DUMMYFUNCTION("""COMPUTED_VALUE"""),"Comparing Population Means under Local Differential Privacy: with Significance and Power")</f>
        <v>Comparing Population Means under Local Differential Privacy: with Significance and Power</v>
      </c>
      <c r="B275" t="str">
        <f ca="1">IF(ISBLANK(A275), "", VLOOKUP(A275,'Annotated Papers'!274:1313,2,FALSE))</f>
        <v>General</v>
      </c>
      <c r="C275" s="24">
        <f ca="1">IF(ISBLANK(A275), "", VLOOKUP(A275,'Annotated Papers'!274:1313,5,FALSE))</f>
        <v>0</v>
      </c>
      <c r="D275">
        <f ca="1">IF(ISBLANK(A275), "", IF(COUNTIF('Annotated Papers'!A:A,A275)&gt;1,1,0))</f>
        <v>0</v>
      </c>
      <c r="E275">
        <f ca="1">IF(ISBLANK(A275), "", IF(SUMIFS('Annotated Papers'!G:G, 'Annotated Papers'!A:A,A275)&gt;0,1,0))</f>
        <v>0</v>
      </c>
      <c r="F275">
        <f ca="1">IF(ISBLANK(A275), "", IF(SUMIFS('Annotated Papers'!H:H, 'Annotated Papers'!A:A,A275)&gt;0,1,0))</f>
        <v>0</v>
      </c>
      <c r="G275" t="e">
        <f ca="1">IF(ISBLANK(A275), "", IF(SUMIFS('Annotated Papers'!I:I, 'Annotated Papers'!A:A,A275)&gt;0,1,0))</f>
        <v>#NAME?</v>
      </c>
      <c r="H275">
        <f ca="1">IF(ISBLANK(A275), "", IF(SUMIFS('Annotated Papers'!L:L, 'Annotated Papers'!A:A,A275)&gt;0,1,0))</f>
        <v>1</v>
      </c>
      <c r="I275" s="24">
        <f ca="1">IF(ISBLANK(A275), "", VLOOKUP(A275,'Annotated Papers'!274:1313,4,FALSE))</f>
        <v>0</v>
      </c>
    </row>
    <row r="276" spans="1:9" ht="14">
      <c r="A276" s="26" t="str">
        <f ca="1">IFERROR(__xludf.DUMMYFUNCTION("""COMPUTED_VALUE"""),"Document Embedding Enhanced Event Detection with Hierarchical and Supervised Attention")</f>
        <v>Document Embedding Enhanced Event Detection with Hierarchical and Supervised Attention</v>
      </c>
      <c r="B276" t="str">
        <f ca="1">IF(ISBLANK(A276), "", VLOOKUP(A276,'Annotated Papers'!275:1314,2,FALSE))</f>
        <v>NLP</v>
      </c>
      <c r="C276" s="24">
        <f ca="1">IF(ISBLANK(A276), "", VLOOKUP(A276,'Annotated Papers'!275:1314,5,FALSE))</f>
        <v>0</v>
      </c>
      <c r="D276">
        <f ca="1">IF(ISBLANK(A276), "", IF(COUNTIF('Annotated Papers'!A:A,A276)&gt;1,1,0))</f>
        <v>0</v>
      </c>
      <c r="E276">
        <f ca="1">IF(ISBLANK(A276), "", IF(SUMIFS('Annotated Papers'!G:G, 'Annotated Papers'!A:A,A276)&gt;0,1,0))</f>
        <v>0</v>
      </c>
      <c r="F276">
        <f ca="1">IF(ISBLANK(A276), "", IF(SUMIFS('Annotated Papers'!H:H, 'Annotated Papers'!A:A,A276)&gt;0,1,0))</f>
        <v>1</v>
      </c>
      <c r="G276" t="e">
        <f ca="1">IF(ISBLANK(A276), "", IF(SUMIFS('Annotated Papers'!I:I, 'Annotated Papers'!A:A,A276)&gt;0,1,0))</f>
        <v>#NAME?</v>
      </c>
      <c r="H276">
        <f ca="1">IF(ISBLANK(A276), "", IF(SUMIFS('Annotated Papers'!L:L, 'Annotated Papers'!A:A,A276)&gt;0,1,0))</f>
        <v>0</v>
      </c>
      <c r="I276" s="24">
        <f ca="1">IF(ISBLANK(A276), "", VLOOKUP(A276,'Annotated Papers'!275:1314,4,FALSE))</f>
        <v>0</v>
      </c>
    </row>
    <row r="277" spans="1:9" ht="14">
      <c r="A277" s="26" t="str">
        <f ca="1">IFERROR(__xludf.DUMMYFUNCTION("""COMPUTED_VALUE"""),"Chinese NER Using Lattice LSTM")</f>
        <v>Chinese NER Using Lattice LSTM</v>
      </c>
      <c r="B277" t="str">
        <f ca="1">IF(ISBLANK(A277), "", VLOOKUP(A277,'Annotated Papers'!276:1315,2,FALSE))</f>
        <v>NLP</v>
      </c>
      <c r="C277" s="24">
        <f ca="1">IF(ISBLANK(A277), "", VLOOKUP(A277,'Annotated Papers'!276:1315,5,FALSE))</f>
        <v>1</v>
      </c>
      <c r="D277">
        <f ca="1">IF(ISBLANK(A277), "", IF(COUNTIF('Annotated Papers'!A:A,A277)&gt;1,1,0))</f>
        <v>1</v>
      </c>
      <c r="E277">
        <f ca="1">IF(ISBLANK(A277), "", IF(SUMIFS('Annotated Papers'!G:G, 'Annotated Papers'!A:A,A277)&gt;0,1,0))</f>
        <v>0</v>
      </c>
      <c r="F277">
        <f ca="1">IF(ISBLANK(A277), "", IF(SUMIFS('Annotated Papers'!H:H, 'Annotated Papers'!A:A,A277)&gt;0,1,0))</f>
        <v>1</v>
      </c>
      <c r="G277" t="e">
        <f ca="1">IF(ISBLANK(A277), "", IF(SUMIFS('Annotated Papers'!I:I, 'Annotated Papers'!A:A,A277)&gt;0,1,0))</f>
        <v>#NAME?</v>
      </c>
      <c r="H277">
        <f ca="1">IF(ISBLANK(A277), "", IF(SUMIFS('Annotated Papers'!L:L, 'Annotated Papers'!A:A,A277)&gt;0,1,0))</f>
        <v>0</v>
      </c>
      <c r="I277" s="24">
        <f ca="1">IF(ISBLANK(A277), "", VLOOKUP(A277,'Annotated Papers'!276:1315,4,FALSE))</f>
        <v>0</v>
      </c>
    </row>
    <row r="278" spans="1:9" ht="14">
      <c r="A278" s="26" t="str">
        <f ca="1">IFERROR(__xludf.DUMMYFUNCTION("""COMPUTED_VALUE"""),"Finding Syntax in Human Encephalography with Beam Search")</f>
        <v>Finding Syntax in Human Encephalography with Beam Search</v>
      </c>
      <c r="B278" t="str">
        <f ca="1">IF(ISBLANK(A278), "", VLOOKUP(A278,'Annotated Papers'!277:1316,2,FALSE))</f>
        <v>NLP</v>
      </c>
      <c r="C278" s="24">
        <f ca="1">IF(ISBLANK(A278), "", VLOOKUP(A278,'Annotated Papers'!277:1316,5,FALSE))</f>
        <v>0</v>
      </c>
      <c r="D278">
        <f ca="1">IF(ISBLANK(A278), "", IF(COUNTIF('Annotated Papers'!A:A,A278)&gt;1,1,0))</f>
        <v>1</v>
      </c>
      <c r="E278">
        <f ca="1">IF(ISBLANK(A278), "", IF(SUMIFS('Annotated Papers'!G:G, 'Annotated Papers'!A:A,A278)&gt;0,1,0))</f>
        <v>0</v>
      </c>
      <c r="F278">
        <f ca="1">IF(ISBLANK(A278), "", IF(SUMIFS('Annotated Papers'!H:H, 'Annotated Papers'!A:A,A278)&gt;0,1,0))</f>
        <v>1</v>
      </c>
      <c r="G278" t="e">
        <f ca="1">IF(ISBLANK(A278), "", IF(SUMIFS('Annotated Papers'!I:I, 'Annotated Papers'!A:A,A278)&gt;0,1,0))</f>
        <v>#NAME?</v>
      </c>
      <c r="H278">
        <f ca="1">IF(ISBLANK(A278), "", IF(SUMIFS('Annotated Papers'!L:L, 'Annotated Papers'!A:A,A278)&gt;0,1,0))</f>
        <v>1</v>
      </c>
      <c r="I278" s="24">
        <f ca="1">IF(ISBLANK(A278), "", VLOOKUP(A278,'Annotated Papers'!277:1316,4,FALSE))</f>
        <v>0</v>
      </c>
    </row>
    <row r="279" spans="1:9" ht="14">
      <c r="A279" s="26" t="str">
        <f ca="1">IFERROR(__xludf.DUMMYFUNCTION("""COMPUTED_VALUE"""),"Query and Output: Generating Words by Querying Distributed Word
Representations for Paraphrase Generation")</f>
        <v>Query and Output: Generating Words by Querying Distributed Word
Representations for Paraphrase Generation</v>
      </c>
      <c r="B279" t="str">
        <f ca="1">IF(ISBLANK(A279), "", VLOOKUP(A279,'Annotated Papers'!278:1317,2,FALSE))</f>
        <v>NLP</v>
      </c>
      <c r="C279" s="24">
        <f ca="1">IF(ISBLANK(A279), "", VLOOKUP(A279,'Annotated Papers'!278:1317,5,FALSE))</f>
        <v>1</v>
      </c>
      <c r="D279">
        <f ca="1">IF(ISBLANK(A279), "", IF(COUNTIF('Annotated Papers'!A:A,A279)&gt;1,1,0))</f>
        <v>1</v>
      </c>
      <c r="E279">
        <f ca="1">IF(ISBLANK(A279), "", IF(SUMIFS('Annotated Papers'!G:G, 'Annotated Papers'!A:A,A279)&gt;0,1,0))</f>
        <v>0</v>
      </c>
      <c r="F279">
        <f ca="1">IF(ISBLANK(A279), "", IF(SUMIFS('Annotated Papers'!H:H, 'Annotated Papers'!A:A,A279)&gt;0,1,0))</f>
        <v>1</v>
      </c>
      <c r="G279" t="e">
        <f ca="1">IF(ISBLANK(A279), "", IF(SUMIFS('Annotated Papers'!I:I, 'Annotated Papers'!A:A,A279)&gt;0,1,0))</f>
        <v>#NAME?</v>
      </c>
      <c r="H279">
        <f ca="1">IF(ISBLANK(A279), "", IF(SUMIFS('Annotated Papers'!L:L, 'Annotated Papers'!A:A,A279)&gt;0,1,0))</f>
        <v>0</v>
      </c>
      <c r="I279" s="24">
        <f ca="1">IF(ISBLANK(A279), "", VLOOKUP(A279,'Annotated Papers'!278:1317,4,FALSE))</f>
        <v>0</v>
      </c>
    </row>
    <row r="280" spans="1:9" ht="14">
      <c r="A280" s="26" t="str">
        <f ca="1">IFERROR(__xludf.DUMMYFUNCTION("""COMPUTED_VALUE"""),"Simplification Using Paraphrases
and Context-based Lexical Substitution")</f>
        <v>Simplification Using Paraphrases
and Context-based Lexical Substitution</v>
      </c>
      <c r="B280" t="str">
        <f ca="1">IF(ISBLANK(A280), "", VLOOKUP(A280,'Annotated Papers'!279:1318,2,FALSE))</f>
        <v>NLP</v>
      </c>
      <c r="C280" s="24">
        <f ca="1">IF(ISBLANK(A280), "", VLOOKUP(A280,'Annotated Papers'!279:1318,5,FALSE))</f>
        <v>1</v>
      </c>
      <c r="D280">
        <f ca="1">IF(ISBLANK(A280), "", IF(COUNTIF('Annotated Papers'!A:A,A280)&gt;1,1,0))</f>
        <v>1</v>
      </c>
      <c r="E280">
        <f ca="1">IF(ISBLANK(A280), "", IF(SUMIFS('Annotated Papers'!G:G, 'Annotated Papers'!A:A,A280)&gt;0,1,0))</f>
        <v>0</v>
      </c>
      <c r="F280">
        <f ca="1">IF(ISBLANK(A280), "", IF(SUMIFS('Annotated Papers'!H:H, 'Annotated Papers'!A:A,A280)&gt;0,1,0))</f>
        <v>1</v>
      </c>
      <c r="G280" t="e">
        <f ca="1">IF(ISBLANK(A280), "", IF(SUMIFS('Annotated Papers'!I:I, 'Annotated Papers'!A:A,A280)&gt;0,1,0))</f>
        <v>#NAME?</v>
      </c>
      <c r="H280">
        <f ca="1">IF(ISBLANK(A280), "", IF(SUMIFS('Annotated Papers'!L:L, 'Annotated Papers'!A:A,A280)&gt;0,1,0))</f>
        <v>0</v>
      </c>
      <c r="I280" s="24">
        <f ca="1">IF(ISBLANK(A280), "", VLOOKUP(A280,'Annotated Papers'!279:1318,4,FALSE))</f>
        <v>0</v>
      </c>
    </row>
    <row r="281" spans="1:9" ht="14">
      <c r="A281" s="26" t="str">
        <f ca="1">IFERROR(__xludf.DUMMYFUNCTION("""COMPUTED_VALUE"""),"Zero-Shot Question Generation from Knowledge Graphs for Unseen
Predicates and Entity Types")</f>
        <v>Zero-Shot Question Generation from Knowledge Graphs for Unseen
Predicates and Entity Types</v>
      </c>
      <c r="B281" t="str">
        <f ca="1">IF(ISBLANK(A281), "", VLOOKUP(A281,'Annotated Papers'!280:1319,2,FALSE))</f>
        <v>NLP</v>
      </c>
      <c r="C281" s="24">
        <f ca="1">IF(ISBLANK(A281), "", VLOOKUP(A281,'Annotated Papers'!280:1319,5,FALSE))</f>
        <v>1</v>
      </c>
      <c r="D281">
        <f ca="1">IF(ISBLANK(A281), "", IF(COUNTIF('Annotated Papers'!A:A,A281)&gt;1,1,0))</f>
        <v>1</v>
      </c>
      <c r="E281">
        <f ca="1">IF(ISBLANK(A281), "", IF(SUMIFS('Annotated Papers'!G:G, 'Annotated Papers'!A:A,A281)&gt;0,1,0))</f>
        <v>0</v>
      </c>
      <c r="F281">
        <f ca="1">IF(ISBLANK(A281), "", IF(SUMIFS('Annotated Papers'!H:H, 'Annotated Papers'!A:A,A281)&gt;0,1,0))</f>
        <v>1</v>
      </c>
      <c r="G281" t="e">
        <f ca="1">IF(ISBLANK(A281), "", IF(SUMIFS('Annotated Papers'!I:I, 'Annotated Papers'!A:A,A281)&gt;0,1,0))</f>
        <v>#NAME?</v>
      </c>
      <c r="H281">
        <f ca="1">IF(ISBLANK(A281), "", IF(SUMIFS('Annotated Papers'!L:L, 'Annotated Papers'!A:A,A281)&gt;0,1,0))</f>
        <v>1</v>
      </c>
      <c r="I281" s="24">
        <f ca="1">IF(ISBLANK(A281), "", VLOOKUP(A281,'Annotated Papers'!280:1319,4,FALSE))</f>
        <v>0</v>
      </c>
    </row>
    <row r="282" spans="1:9" ht="14">
      <c r="A282" s="25" t="str">
        <f ca="1">IFERROR(__xludf.DUMMYFUNCTION("""COMPUTED_VALUE"""),"Decomposition of Uncertainty in Bayesian Deep Learning for Efficient and Risk-sensitive Learning")</f>
        <v>Decomposition of Uncertainty in Bayesian Deep Learning for Efficient and Risk-sensitive Learning</v>
      </c>
      <c r="B282" t="str">
        <f ca="1">IF(ISBLANK(A282), "", VLOOKUP(A282,'Annotated Papers'!281:1320,2,FALSE))</f>
        <v>General</v>
      </c>
      <c r="C282" s="24">
        <f ca="1">IF(ISBLANK(A282), "", VLOOKUP(A282,'Annotated Papers'!281:1320,5,FALSE))</f>
        <v>0</v>
      </c>
      <c r="D282">
        <f ca="1">IF(ISBLANK(A282), "", IF(COUNTIF('Annotated Papers'!A:A,A282)&gt;1,1,0))</f>
        <v>1</v>
      </c>
      <c r="E282">
        <f ca="1">IF(ISBLANK(A282), "", IF(SUMIFS('Annotated Papers'!G:G, 'Annotated Papers'!A:A,A282)&gt;0,1,0))</f>
        <v>0</v>
      </c>
      <c r="F282">
        <f ca="1">IF(ISBLANK(A282), "", IF(SUMIFS('Annotated Papers'!H:H, 'Annotated Papers'!A:A,A282)&gt;0,1,0))</f>
        <v>1</v>
      </c>
      <c r="G282" t="e">
        <f ca="1">IF(ISBLANK(A282), "", IF(SUMIFS('Annotated Papers'!I:I, 'Annotated Papers'!A:A,A282)&gt;0,1,0))</f>
        <v>#NAME?</v>
      </c>
      <c r="H282">
        <f ca="1">IF(ISBLANK(A282), "", IF(SUMIFS('Annotated Papers'!L:L, 'Annotated Papers'!A:A,A282)&gt;0,1,0))</f>
        <v>1</v>
      </c>
      <c r="I282" s="24">
        <f ca="1">IF(ISBLANK(A282), "", VLOOKUP(A282,'Annotated Papers'!281:1320,4,FALSE))</f>
        <v>0</v>
      </c>
    </row>
    <row r="283" spans="1:9" ht="14">
      <c r="A283" s="25" t="str">
        <f ca="1">IFERROR(__xludf.DUMMYFUNCTION("""COMPUTED_VALUE"""),"Large-Scale Cox Process Inference using Variational Fourier Features")</f>
        <v>Large-Scale Cox Process Inference using Variational Fourier Features</v>
      </c>
      <c r="B283" t="str">
        <f ca="1">IF(ISBLANK(A283), "", VLOOKUP(A283,'Annotated Papers'!282:1321,2,FALSE))</f>
        <v>General</v>
      </c>
      <c r="C283" s="24">
        <f ca="1">IF(ISBLANK(A283), "", VLOOKUP(A283,'Annotated Papers'!282:1321,5,FALSE))</f>
        <v>0</v>
      </c>
      <c r="D283">
        <f ca="1">IF(ISBLANK(A283), "", IF(COUNTIF('Annotated Papers'!A:A,A283)&gt;1,1,0))</f>
        <v>1</v>
      </c>
      <c r="E283">
        <f ca="1">IF(ISBLANK(A283), "", IF(SUMIFS('Annotated Papers'!G:G, 'Annotated Papers'!A:A,A283)&gt;0,1,0))</f>
        <v>0</v>
      </c>
      <c r="F283">
        <f ca="1">IF(ISBLANK(A283), "", IF(SUMIFS('Annotated Papers'!H:H, 'Annotated Papers'!A:A,A283)&gt;0,1,0))</f>
        <v>1</v>
      </c>
      <c r="G283" t="e">
        <f ca="1">IF(ISBLANK(A283), "", IF(SUMIFS('Annotated Papers'!I:I, 'Annotated Papers'!A:A,A283)&gt;0,1,0))</f>
        <v>#NAME?</v>
      </c>
      <c r="H283">
        <f ca="1">IF(ISBLANK(A283), "", IF(SUMIFS('Annotated Papers'!L:L, 'Annotated Papers'!A:A,A283)&gt;0,1,0))</f>
        <v>1</v>
      </c>
      <c r="I283" s="24">
        <f ca="1">IF(ISBLANK(A283), "", VLOOKUP(A283,'Annotated Papers'!282:1321,4,FALSE))</f>
        <v>0</v>
      </c>
    </row>
    <row r="284" spans="1:9" ht="14">
      <c r="A284" s="25" t="str">
        <f ca="1">IFERROR(__xludf.DUMMYFUNCTION("""COMPUTED_VALUE"""),"Predict and Constrain: Modeling Cardinality in Deep Structured Prediction")</f>
        <v>Predict and Constrain: Modeling Cardinality in Deep Structured Prediction</v>
      </c>
      <c r="B284" t="str">
        <f ca="1">IF(ISBLANK(A284), "", VLOOKUP(A284,'Annotated Papers'!283:1322,2,FALSE))</f>
        <v>General</v>
      </c>
      <c r="C284" s="24">
        <f ca="1">IF(ISBLANK(A284), "", VLOOKUP(A284,'Annotated Papers'!283:1322,5,FALSE))</f>
        <v>0</v>
      </c>
      <c r="D284">
        <f ca="1">IF(ISBLANK(A284), "", IF(COUNTIF('Annotated Papers'!A:A,A284)&gt;1,1,0))</f>
        <v>1</v>
      </c>
      <c r="E284">
        <f ca="1">IF(ISBLANK(A284), "", IF(SUMIFS('Annotated Papers'!G:G, 'Annotated Papers'!A:A,A284)&gt;0,1,0))</f>
        <v>0</v>
      </c>
      <c r="F284">
        <f ca="1">IF(ISBLANK(A284), "", IF(SUMIFS('Annotated Papers'!H:H, 'Annotated Papers'!A:A,A284)&gt;0,1,0))</f>
        <v>1</v>
      </c>
      <c r="G284" t="e">
        <f ca="1">IF(ISBLANK(A284), "", IF(SUMIFS('Annotated Papers'!I:I, 'Annotated Papers'!A:A,A284)&gt;0,1,0))</f>
        <v>#NAME?</v>
      </c>
      <c r="H284">
        <f ca="1">IF(ISBLANK(A284), "", IF(SUMIFS('Annotated Papers'!L:L, 'Annotated Papers'!A:A,A284)&gt;0,1,0))</f>
        <v>0</v>
      </c>
      <c r="I284" s="24">
        <f ca="1">IF(ISBLANK(A284), "", VLOOKUP(A284,'Annotated Papers'!283:1322,4,FALSE))</f>
        <v>0</v>
      </c>
    </row>
    <row r="285" spans="1:9" ht="14">
      <c r="A285" s="25" t="str">
        <f ca="1">IFERROR(__xludf.DUMMYFUNCTION("""COMPUTED_VALUE"""),"Local Convergence Properties of SAGA/Prox-SVRG and Acceleration")</f>
        <v>Local Convergence Properties of SAGA/Prox-SVRG and Acceleration</v>
      </c>
      <c r="B285" t="str">
        <f ca="1">IF(ISBLANK(A285), "", VLOOKUP(A285,'Annotated Papers'!284:1323,2,FALSE))</f>
        <v>General</v>
      </c>
      <c r="C285" s="24">
        <f ca="1">IF(ISBLANK(A285), "", VLOOKUP(A285,'Annotated Papers'!284:1323,5,FALSE))</f>
        <v>1</v>
      </c>
      <c r="D285">
        <f ca="1">IF(ISBLANK(A285), "", IF(COUNTIF('Annotated Papers'!A:A,A285)&gt;1,1,0))</f>
        <v>1</v>
      </c>
      <c r="E285">
        <f ca="1">IF(ISBLANK(A285), "", IF(SUMIFS('Annotated Papers'!G:G, 'Annotated Papers'!A:A,A285)&gt;0,1,0))</f>
        <v>0</v>
      </c>
      <c r="F285">
        <f ca="1">IF(ISBLANK(A285), "", IF(SUMIFS('Annotated Papers'!H:H, 'Annotated Papers'!A:A,A285)&gt;0,1,0))</f>
        <v>1</v>
      </c>
      <c r="G285" t="e">
        <f ca="1">IF(ISBLANK(A285), "", IF(SUMIFS('Annotated Papers'!I:I, 'Annotated Papers'!A:A,A285)&gt;0,1,0))</f>
        <v>#NAME?</v>
      </c>
      <c r="H285">
        <f ca="1">IF(ISBLANK(A285), "", IF(SUMIFS('Annotated Papers'!L:L, 'Annotated Papers'!A:A,A285)&gt;0,1,0))</f>
        <v>0</v>
      </c>
      <c r="I285" s="24">
        <f ca="1">IF(ISBLANK(A285), "", VLOOKUP(A285,'Annotated Papers'!284:1323,4,FALSE))</f>
        <v>0</v>
      </c>
    </row>
    <row r="286" spans="1:9" ht="14">
      <c r="A286" s="25" t="str">
        <f ca="1">IFERROR(__xludf.DUMMYFUNCTION("""COMPUTED_VALUE"""),"MuseGAN: Multi-track Sequential Generative Adversarial Networks for Symbolic Music Generation and Accompaniment")</f>
        <v>MuseGAN: Multi-track Sequential Generative Adversarial Networks for Symbolic Music Generation and Accompaniment</v>
      </c>
      <c r="B286" t="str">
        <f ca="1">IF(ISBLANK(A286), "", VLOOKUP(A286,'Annotated Papers'!285:1324,2,FALSE))</f>
        <v>General</v>
      </c>
      <c r="C286" s="24">
        <f ca="1">IF(ISBLANK(A286), "", VLOOKUP(A286,'Annotated Papers'!285:1324,5,FALSE))</f>
        <v>1</v>
      </c>
      <c r="D286">
        <f ca="1">IF(ISBLANK(A286), "", IF(COUNTIF('Annotated Papers'!A:A,A286)&gt;1,1,0))</f>
        <v>0</v>
      </c>
      <c r="E286">
        <f ca="1">IF(ISBLANK(A286), "", IF(SUMIFS('Annotated Papers'!G:G, 'Annotated Papers'!A:A,A286)&gt;0,1,0))</f>
        <v>0</v>
      </c>
      <c r="F286">
        <f ca="1">IF(ISBLANK(A286), "", IF(SUMIFS('Annotated Papers'!H:H, 'Annotated Papers'!A:A,A286)&gt;0,1,0))</f>
        <v>1</v>
      </c>
      <c r="G286" t="e">
        <f ca="1">IF(ISBLANK(A286), "", IF(SUMIFS('Annotated Papers'!I:I, 'Annotated Papers'!A:A,A286)&gt;0,1,0))</f>
        <v>#NAME?</v>
      </c>
      <c r="H286">
        <f ca="1">IF(ISBLANK(A286), "", IF(SUMIFS('Annotated Papers'!L:L, 'Annotated Papers'!A:A,A286)&gt;0,1,0))</f>
        <v>0</v>
      </c>
      <c r="I286" s="24">
        <f ca="1">IF(ISBLANK(A286), "", VLOOKUP(A286,'Annotated Papers'!285:1324,4,FALSE))</f>
        <v>0</v>
      </c>
    </row>
    <row r="287" spans="1:9" ht="14">
      <c r="A287" s="25" t="str">
        <f ca="1">IFERROR(__xludf.DUMMYFUNCTION("""COMPUTED_VALUE"""),"Picasso, Matisse, or a Fake? Automated Analysis of Drawings at the Stroke Level for Attribution and Authentication")</f>
        <v>Picasso, Matisse, or a Fake? Automated Analysis of Drawings at the Stroke Level for Attribution and Authentication</v>
      </c>
      <c r="B287" t="str">
        <f ca="1">IF(ISBLANK(A287), "", VLOOKUP(A287,'Annotated Papers'!286:1325,2,FALSE))</f>
        <v>General</v>
      </c>
      <c r="C287" s="24">
        <f ca="1">IF(ISBLANK(A287), "", VLOOKUP(A287,'Annotated Papers'!286:1325,5,FALSE))</f>
        <v>0</v>
      </c>
      <c r="D287">
        <f ca="1">IF(ISBLANK(A287), "", IF(COUNTIF('Annotated Papers'!A:A,A287)&gt;1,1,0))</f>
        <v>0</v>
      </c>
      <c r="E287">
        <f ca="1">IF(ISBLANK(A287), "", IF(SUMIFS('Annotated Papers'!G:G, 'Annotated Papers'!A:A,A287)&gt;0,1,0))</f>
        <v>0</v>
      </c>
      <c r="F287">
        <f ca="1">IF(ISBLANK(A287), "", IF(SUMIFS('Annotated Papers'!H:H, 'Annotated Papers'!A:A,A287)&gt;0,1,0))</f>
        <v>0</v>
      </c>
      <c r="G287" t="e">
        <f ca="1">IF(ISBLANK(A287), "", IF(SUMIFS('Annotated Papers'!I:I, 'Annotated Papers'!A:A,A287)&gt;0,1,0))</f>
        <v>#NAME?</v>
      </c>
      <c r="H287">
        <f ca="1">IF(ISBLANK(A287), "", IF(SUMIFS('Annotated Papers'!L:L, 'Annotated Papers'!A:A,A287)&gt;0,1,0))</f>
        <v>0</v>
      </c>
      <c r="I287" s="24">
        <f ca="1">IF(ISBLANK(A287), "", VLOOKUP(A287,'Annotated Papers'!286:1325,4,FALSE))</f>
        <v>0</v>
      </c>
    </row>
    <row r="288" spans="1:9" ht="14">
      <c r="A288" s="25" t="str">
        <f ca="1">IFERROR(__xludf.DUMMYFUNCTION("""COMPUTED_VALUE"""),"Learning Deep Structured Active Contours End-to-End")</f>
        <v>Learning Deep Structured Active Contours End-to-End</v>
      </c>
      <c r="B288" t="str">
        <f ca="1">IF(ISBLANK(A288), "", VLOOKUP(A288,'Annotated Papers'!287:1326,2,FALSE))</f>
        <v>CV</v>
      </c>
      <c r="C288" s="24">
        <f ca="1">IF(ISBLANK(A288), "", VLOOKUP(A288,'Annotated Papers'!287:1326,5,FALSE))</f>
        <v>1</v>
      </c>
      <c r="D288">
        <f ca="1">IF(ISBLANK(A288), "", IF(COUNTIF('Annotated Papers'!A:A,A288)&gt;1,1,0))</f>
        <v>1</v>
      </c>
      <c r="E288">
        <f ca="1">IF(ISBLANK(A288), "", IF(SUMIFS('Annotated Papers'!G:G, 'Annotated Papers'!A:A,A288)&gt;0,1,0))</f>
        <v>0</v>
      </c>
      <c r="F288">
        <f ca="1">IF(ISBLANK(A288), "", IF(SUMIFS('Annotated Papers'!H:H, 'Annotated Papers'!A:A,A288)&gt;0,1,0))</f>
        <v>1</v>
      </c>
      <c r="G288" t="e">
        <f ca="1">IF(ISBLANK(A288), "", IF(SUMIFS('Annotated Papers'!I:I, 'Annotated Papers'!A:A,A288)&gt;0,1,0))</f>
        <v>#NAME?</v>
      </c>
      <c r="H288">
        <f ca="1">IF(ISBLANK(A288), "", IF(SUMIFS('Annotated Papers'!L:L, 'Annotated Papers'!A:A,A288)&gt;0,1,0))</f>
        <v>0</v>
      </c>
      <c r="I288" s="24">
        <f ca="1">IF(ISBLANK(A288), "", VLOOKUP(A288,'Annotated Papers'!287:1326,4,FALSE))</f>
        <v>0</v>
      </c>
    </row>
    <row r="289" spans="1:9" ht="14">
      <c r="A289" s="25" t="str">
        <f ca="1">IFERROR(__xludf.DUMMYFUNCTION("""COMPUTED_VALUE"""),"Beyond Distributive Fairness in Algorithmic Decision Making: Feature Selection for Procedurally Fair Learning")</f>
        <v>Beyond Distributive Fairness in Algorithmic Decision Making: Feature Selection for Procedurally Fair Learning</v>
      </c>
      <c r="B289" t="str">
        <f ca="1">IF(ISBLANK(A289), "", VLOOKUP(A289,'Annotated Papers'!288:1327,2,FALSE))</f>
        <v>General</v>
      </c>
      <c r="C289" s="24">
        <f ca="1">IF(ISBLANK(A289), "", VLOOKUP(A289,'Annotated Papers'!288:1327,5,FALSE))</f>
        <v>0</v>
      </c>
      <c r="D289">
        <f ca="1">IF(ISBLANK(A289), "", IF(COUNTIF('Annotated Papers'!A:A,A289)&gt;1,1,0))</f>
        <v>1</v>
      </c>
      <c r="E289">
        <f ca="1">IF(ISBLANK(A289), "", IF(SUMIFS('Annotated Papers'!G:G, 'Annotated Papers'!A:A,A289)&gt;0,1,0))</f>
        <v>0</v>
      </c>
      <c r="F289">
        <f ca="1">IF(ISBLANK(A289), "", IF(SUMIFS('Annotated Papers'!H:H, 'Annotated Papers'!A:A,A289)&gt;0,1,0))</f>
        <v>1</v>
      </c>
      <c r="G289" t="e">
        <f ca="1">IF(ISBLANK(A289), "", IF(SUMIFS('Annotated Papers'!I:I, 'Annotated Papers'!A:A,A289)&gt;0,1,0))</f>
        <v>#NAME?</v>
      </c>
      <c r="H289">
        <f ca="1">IF(ISBLANK(A289), "", IF(SUMIFS('Annotated Papers'!L:L, 'Annotated Papers'!A:A,A289)&gt;0,1,0))</f>
        <v>0</v>
      </c>
      <c r="I289" s="24">
        <f ca="1">IF(ISBLANK(A289), "", VLOOKUP(A289,'Annotated Papers'!288:1327,4,FALSE))</f>
        <v>0</v>
      </c>
    </row>
    <row r="290" spans="1:9" ht="14">
      <c r="A290" s="25" t="str">
        <f ca="1">IFERROR(__xludf.DUMMYFUNCTION("""COMPUTED_VALUE"""),"Distributed Composite Quantization")</f>
        <v>Distributed Composite Quantization</v>
      </c>
      <c r="B290" t="str">
        <f ca="1">IF(ISBLANK(A290), "", VLOOKUP(A290,'Annotated Papers'!289:1328,2,FALSE))</f>
        <v>General</v>
      </c>
      <c r="C290" s="24">
        <f ca="1">IF(ISBLANK(A290), "", VLOOKUP(A290,'Annotated Papers'!289:1328,5,FALSE))</f>
        <v>0</v>
      </c>
      <c r="D290">
        <f ca="1">IF(ISBLANK(A290), "", IF(COUNTIF('Annotated Papers'!A:A,A290)&gt;1,1,0))</f>
        <v>1</v>
      </c>
      <c r="E290">
        <f ca="1">IF(ISBLANK(A290), "", IF(SUMIFS('Annotated Papers'!G:G, 'Annotated Papers'!A:A,A290)&gt;0,1,0))</f>
        <v>0</v>
      </c>
      <c r="F290">
        <f ca="1">IF(ISBLANK(A290), "", IF(SUMIFS('Annotated Papers'!H:H, 'Annotated Papers'!A:A,A290)&gt;0,1,0))</f>
        <v>1</v>
      </c>
      <c r="G290" t="e">
        <f ca="1">IF(ISBLANK(A290), "", IF(SUMIFS('Annotated Papers'!I:I, 'Annotated Papers'!A:A,A290)&gt;0,1,0))</f>
        <v>#NAME?</v>
      </c>
      <c r="H290">
        <f ca="1">IF(ISBLANK(A290), "", IF(SUMIFS('Annotated Papers'!L:L, 'Annotated Papers'!A:A,A290)&gt;0,1,0))</f>
        <v>0</v>
      </c>
      <c r="I290" s="24">
        <f ca="1">IF(ISBLANK(A290), "", VLOOKUP(A290,'Annotated Papers'!289:1328,4,FALSE))</f>
        <v>0</v>
      </c>
    </row>
    <row r="291" spans="1:9" ht="14">
      <c r="A291" s="25" t="str">
        <f ca="1">IFERROR(__xludf.DUMMYFUNCTION("""COMPUTED_VALUE"""),"Resolving Abstract Anaphora in Conversational Assistants using a Hierarchically-stacked RNN")</f>
        <v>Resolving Abstract Anaphora in Conversational Assistants using a Hierarchically-stacked RNN</v>
      </c>
      <c r="B291" t="str">
        <f ca="1">IF(ISBLANK(A291), "", VLOOKUP(A291,'Annotated Papers'!290:1329,2,FALSE))</f>
        <v>General</v>
      </c>
      <c r="C291" s="24">
        <f ca="1">IF(ISBLANK(A291), "", VLOOKUP(A291,'Annotated Papers'!290:1329,5,FALSE))</f>
        <v>0</v>
      </c>
      <c r="D291">
        <f ca="1">IF(ISBLANK(A291), "", IF(COUNTIF('Annotated Papers'!A:A,A291)&gt;1,1,0))</f>
        <v>1</v>
      </c>
      <c r="E291">
        <f ca="1">IF(ISBLANK(A291), "", IF(SUMIFS('Annotated Papers'!G:G, 'Annotated Papers'!A:A,A291)&gt;0,1,0))</f>
        <v>0</v>
      </c>
      <c r="F291">
        <f ca="1">IF(ISBLANK(A291), "", IF(SUMIFS('Annotated Papers'!H:H, 'Annotated Papers'!A:A,A291)&gt;0,1,0))</f>
        <v>1</v>
      </c>
      <c r="G291" t="e">
        <f ca="1">IF(ISBLANK(A291), "", IF(SUMIFS('Annotated Papers'!I:I, 'Annotated Papers'!A:A,A291)&gt;0,1,0))</f>
        <v>#NAME?</v>
      </c>
      <c r="H291">
        <f ca="1">IF(ISBLANK(A291), "", IF(SUMIFS('Annotated Papers'!L:L, 'Annotated Papers'!A:A,A291)&gt;0,1,0))</f>
        <v>1</v>
      </c>
      <c r="I291" s="24">
        <f ca="1">IF(ISBLANK(A291), "", VLOOKUP(A291,'Annotated Papers'!290:1329,4,FALSE))</f>
        <v>0</v>
      </c>
    </row>
    <row r="292" spans="1:9" ht="14">
      <c r="A292" s="25" t="str">
        <f ca="1">IFERROR(__xludf.DUMMYFUNCTION("""COMPUTED_VALUE"""),"Leveraging Meta-path based Context for Top N recommendation with Co-attention mechanism")</f>
        <v>Leveraging Meta-path based Context for Top N recommendation with Co-attention mechanism</v>
      </c>
      <c r="B292" t="str">
        <f ca="1">IF(ISBLANK(A292), "", VLOOKUP(A292,'Annotated Papers'!291:1330,2,FALSE))</f>
        <v>General</v>
      </c>
      <c r="C292" s="24">
        <f ca="1">IF(ISBLANK(A292), "", VLOOKUP(A292,'Annotated Papers'!291:1330,5,FALSE))</f>
        <v>0</v>
      </c>
      <c r="D292">
        <f ca="1">IF(ISBLANK(A292), "", IF(COUNTIF('Annotated Papers'!A:A,A292)&gt;1,1,0))</f>
        <v>1</v>
      </c>
      <c r="E292">
        <f ca="1">IF(ISBLANK(A292), "", IF(SUMIFS('Annotated Papers'!G:G, 'Annotated Papers'!A:A,A292)&gt;0,1,0))</f>
        <v>0</v>
      </c>
      <c r="F292">
        <f ca="1">IF(ISBLANK(A292), "", IF(SUMIFS('Annotated Papers'!H:H, 'Annotated Papers'!A:A,A292)&gt;0,1,0))</f>
        <v>1</v>
      </c>
      <c r="G292" t="e">
        <f ca="1">IF(ISBLANK(A292), "", IF(SUMIFS('Annotated Papers'!I:I, 'Annotated Papers'!A:A,A292)&gt;0,1,0))</f>
        <v>#NAME?</v>
      </c>
      <c r="H292">
        <f ca="1">IF(ISBLANK(A292), "", IF(SUMIFS('Annotated Papers'!L:L, 'Annotated Papers'!A:A,A292)&gt;0,1,0))</f>
        <v>1</v>
      </c>
      <c r="I292" s="24">
        <f ca="1">IF(ISBLANK(A292), "", VLOOKUP(A292,'Annotated Papers'!291:1330,4,FALSE))</f>
        <v>0</v>
      </c>
    </row>
    <row r="293" spans="1:9" ht="14">
      <c r="A293" s="25" t="str">
        <f ca="1">IFERROR(__xludf.DUMMYFUNCTION("""COMPUTED_VALUE"""),"Analyzing Uncertainty in Neural Machine Translation")</f>
        <v>Analyzing Uncertainty in Neural Machine Translation</v>
      </c>
      <c r="B293" t="str">
        <f ca="1">IF(ISBLANK(A293), "", VLOOKUP(A293,'Annotated Papers'!292:1331,2,FALSE))</f>
        <v>General, NLP</v>
      </c>
      <c r="C293" s="24">
        <f ca="1">IF(ISBLANK(A293), "", VLOOKUP(A293,'Annotated Papers'!292:1331,5,FALSE))</f>
        <v>1</v>
      </c>
      <c r="D293">
        <f ca="1">IF(ISBLANK(A293), "", IF(COUNTIF('Annotated Papers'!A:A,A293)&gt;1,1,0))</f>
        <v>1</v>
      </c>
      <c r="E293">
        <f ca="1">IF(ISBLANK(A293), "", IF(SUMIFS('Annotated Papers'!G:G, 'Annotated Papers'!A:A,A293)&gt;0,1,0))</f>
        <v>0</v>
      </c>
      <c r="F293">
        <f ca="1">IF(ISBLANK(A293), "", IF(SUMIFS('Annotated Papers'!H:H, 'Annotated Papers'!A:A,A293)&gt;0,1,0))</f>
        <v>1</v>
      </c>
      <c r="G293" t="e">
        <f ca="1">IF(ISBLANK(A293), "", IF(SUMIFS('Annotated Papers'!I:I, 'Annotated Papers'!A:A,A293)&gt;0,1,0))</f>
        <v>#NAME?</v>
      </c>
      <c r="H293">
        <f ca="1">IF(ISBLANK(A293), "", IF(SUMIFS('Annotated Papers'!L:L, 'Annotated Papers'!A:A,A293)&gt;0,1,0))</f>
        <v>0</v>
      </c>
      <c r="I293" s="24">
        <f ca="1">IF(ISBLANK(A293), "", VLOOKUP(A293,'Annotated Papers'!292:1331,4,FALSE))</f>
        <v>0</v>
      </c>
    </row>
    <row r="294" spans="1:9" ht="14">
      <c r="A294" s="25" t="str">
        <f ca="1">IFERROR(__xludf.DUMMYFUNCTION("""COMPUTED_VALUE"""),"Efficient Bias-Span-Constrained Exploration-Exploitation in Reinforcement Learning")</f>
        <v>Efficient Bias-Span-Constrained Exploration-Exploitation in Reinforcement Learning</v>
      </c>
      <c r="B294" t="str">
        <f ca="1">IF(ISBLANK(A294), "", VLOOKUP(A294,'Annotated Papers'!293:1332,2,FALSE))</f>
        <v>General</v>
      </c>
      <c r="C294" s="24">
        <f ca="1">IF(ISBLANK(A294), "", VLOOKUP(A294,'Annotated Papers'!293:1332,5,FALSE))</f>
        <v>1</v>
      </c>
      <c r="D294">
        <f ca="1">IF(ISBLANK(A294), "", IF(COUNTIF('Annotated Papers'!A:A,A294)&gt;1,1,0))</f>
        <v>0</v>
      </c>
      <c r="E294">
        <f ca="1">IF(ISBLANK(A294), "", IF(SUMIFS('Annotated Papers'!G:G, 'Annotated Papers'!A:A,A294)&gt;0,1,0))</f>
        <v>0</v>
      </c>
      <c r="F294">
        <f ca="1">IF(ISBLANK(A294), "", IF(SUMIFS('Annotated Papers'!H:H, 'Annotated Papers'!A:A,A294)&gt;0,1,0))</f>
        <v>0</v>
      </c>
      <c r="G294">
        <f ca="1">IF(ISBLANK(A294), "", IF(SUMIFS('Annotated Papers'!I:I, 'Annotated Papers'!A:A,A294)&gt;0,1,0))</f>
        <v>0</v>
      </c>
      <c r="H294">
        <f ca="1">IF(ISBLANK(A294), "", IF(SUMIFS('Annotated Papers'!L:L, 'Annotated Papers'!A:A,A294)&gt;0,1,0))</f>
        <v>1</v>
      </c>
      <c r="I294" s="24">
        <f ca="1">IF(ISBLANK(A294), "", VLOOKUP(A294,'Annotated Papers'!293:1332,4,FALSE))</f>
        <v>1</v>
      </c>
    </row>
    <row r="295" spans="1:9" ht="14">
      <c r="A295" s="25" t="str">
        <f ca="1">IFERROR(__xludf.DUMMYFUNCTION("""COMPUTED_VALUE"""),"Learning to Share and Hide Intentions using Information Regularization")</f>
        <v>Learning to Share and Hide Intentions using Information Regularization</v>
      </c>
      <c r="B295" t="str">
        <f ca="1">IF(ISBLANK(A295), "", VLOOKUP(A295,'Annotated Papers'!294:1333,2,FALSE))</f>
        <v>General</v>
      </c>
      <c r="C295" s="24">
        <f ca="1">IF(ISBLANK(A295), "", VLOOKUP(A295,'Annotated Papers'!294:1333,5,FALSE))</f>
        <v>1</v>
      </c>
      <c r="D295">
        <f ca="1">IF(ISBLANK(A295), "", IF(COUNTIF('Annotated Papers'!A:A,A295)&gt;1,1,0))</f>
        <v>1</v>
      </c>
      <c r="E295">
        <f ca="1">IF(ISBLANK(A295), "", IF(SUMIFS('Annotated Papers'!G:G, 'Annotated Papers'!A:A,A295)&gt;0,1,0))</f>
        <v>0</v>
      </c>
      <c r="F295">
        <f ca="1">IF(ISBLANK(A295), "", IF(SUMIFS('Annotated Papers'!H:H, 'Annotated Papers'!A:A,A295)&gt;0,1,0))</f>
        <v>1</v>
      </c>
      <c r="G295" t="e">
        <f ca="1">IF(ISBLANK(A295), "", IF(SUMIFS('Annotated Papers'!I:I, 'Annotated Papers'!A:A,A295)&gt;0,1,0))</f>
        <v>#NAME?</v>
      </c>
      <c r="H295">
        <f ca="1">IF(ISBLANK(A295), "", IF(SUMIFS('Annotated Papers'!L:L, 'Annotated Papers'!A:A,A295)&gt;0,1,0))</f>
        <v>1</v>
      </c>
      <c r="I295" s="24">
        <f ca="1">IF(ISBLANK(A295), "", VLOOKUP(A295,'Annotated Papers'!294:1333,4,FALSE))</f>
        <v>0</v>
      </c>
    </row>
    <row r="296" spans="1:9" ht="14">
      <c r="A296" s="25" t="str">
        <f ca="1">IFERROR(__xludf.DUMMYFUNCTION("""COMPUTED_VALUE"""),"L4: Practical loss-based stepsize adaptation for deep learning")</f>
        <v>L4: Practical loss-based stepsize adaptation for deep learning</v>
      </c>
      <c r="B296" t="str">
        <f ca="1">IF(ISBLANK(A296), "", VLOOKUP(A296,'Annotated Papers'!295:1334,2,FALSE))</f>
        <v>General</v>
      </c>
      <c r="C296" s="24">
        <f ca="1">IF(ISBLANK(A296), "", VLOOKUP(A296,'Annotated Papers'!295:1334,5,FALSE))</f>
        <v>0</v>
      </c>
      <c r="D296">
        <f ca="1">IF(ISBLANK(A296), "", IF(COUNTIF('Annotated Papers'!A:A,A296)&gt;1,1,0))</f>
        <v>1</v>
      </c>
      <c r="E296">
        <f ca="1">IF(ISBLANK(A296), "", IF(SUMIFS('Annotated Papers'!G:G, 'Annotated Papers'!A:A,A296)&gt;0,1,0))</f>
        <v>0</v>
      </c>
      <c r="F296">
        <f ca="1">IF(ISBLANK(A296), "", IF(SUMIFS('Annotated Papers'!H:H, 'Annotated Papers'!A:A,A296)&gt;0,1,0))</f>
        <v>1</v>
      </c>
      <c r="G296" t="e">
        <f ca="1">IF(ISBLANK(A296), "", IF(SUMIFS('Annotated Papers'!I:I, 'Annotated Papers'!A:A,A296)&gt;0,1,0))</f>
        <v>#NAME?</v>
      </c>
      <c r="H296">
        <f ca="1">IF(ISBLANK(A296), "", IF(SUMIFS('Annotated Papers'!L:L, 'Annotated Papers'!A:A,A296)&gt;0,1,0))</f>
        <v>1</v>
      </c>
      <c r="I296" s="24">
        <f ca="1">IF(ISBLANK(A296), "", VLOOKUP(A296,'Annotated Papers'!295:1334,4,FALSE))</f>
        <v>0</v>
      </c>
    </row>
    <row r="297" spans="1:9" ht="14">
      <c r="A297" s="26" t="str">
        <f ca="1">IFERROR(__xludf.DUMMYFUNCTION("""COMPUTED_VALUE"""),"Automated Essay Scoring in the Presence of Biased Ratings")</f>
        <v>Automated Essay Scoring in the Presence of Biased Ratings</v>
      </c>
      <c r="B297" t="str">
        <f ca="1">IF(ISBLANK(A297), "", VLOOKUP(A297,'Annotated Papers'!296:1335,2,FALSE))</f>
        <v>NLP</v>
      </c>
      <c r="C297" s="24">
        <f ca="1">IF(ISBLANK(A297), "", VLOOKUP(A297,'Annotated Papers'!296:1335,5,FALSE))</f>
        <v>0</v>
      </c>
      <c r="D297">
        <f ca="1">IF(ISBLANK(A297), "", IF(COUNTIF('Annotated Papers'!A:A,A297)&gt;1,1,0))</f>
        <v>0</v>
      </c>
      <c r="E297">
        <f ca="1">IF(ISBLANK(A297), "", IF(SUMIFS('Annotated Papers'!G:G, 'Annotated Papers'!A:A,A297)&gt;0,1,0))</f>
        <v>0</v>
      </c>
      <c r="F297">
        <f ca="1">IF(ISBLANK(A297), "", IF(SUMIFS('Annotated Papers'!H:H, 'Annotated Papers'!A:A,A297)&gt;0,1,0))</f>
        <v>1</v>
      </c>
      <c r="G297" t="e">
        <f ca="1">IF(ISBLANK(A297), "", IF(SUMIFS('Annotated Papers'!I:I, 'Annotated Papers'!A:A,A297)&gt;0,1,0))</f>
        <v>#NAME?</v>
      </c>
      <c r="H297">
        <f ca="1">IF(ISBLANK(A297), "", IF(SUMIFS('Annotated Papers'!L:L, 'Annotated Papers'!A:A,A297)&gt;0,1,0))</f>
        <v>1</v>
      </c>
      <c r="I297" s="24">
        <f ca="1">IF(ISBLANK(A297), "", VLOOKUP(A297,'Annotated Papers'!296:1335,4,FALSE))</f>
        <v>0</v>
      </c>
    </row>
    <row r="298" spans="1:9" ht="14">
      <c r="A298" s="25" t="str">
        <f ca="1">IFERROR(__xludf.DUMMYFUNCTION("""COMPUTED_VALUE"""),"Hearst Patterns Revisited: Automatic Hypernym Detection from Large Text Corpora")</f>
        <v>Hearst Patterns Revisited: Automatic Hypernym Detection from Large Text Corpora</v>
      </c>
      <c r="B298" t="str">
        <f ca="1">IF(ISBLANK(A298), "", VLOOKUP(A298,'Annotated Papers'!297:1336,2,FALSE))</f>
        <v>NLP</v>
      </c>
      <c r="C298" s="24">
        <f ca="1">IF(ISBLANK(A298), "", VLOOKUP(A298,'Annotated Papers'!297:1336,5,FALSE))</f>
        <v>1</v>
      </c>
      <c r="D298">
        <f ca="1">IF(ISBLANK(A298), "", IF(COUNTIF('Annotated Papers'!A:A,A298)&gt;1,1,0))</f>
        <v>1</v>
      </c>
      <c r="E298">
        <f ca="1">IF(ISBLANK(A298), "", IF(SUMIFS('Annotated Papers'!G:G, 'Annotated Papers'!A:A,A298)&gt;0,1,0))</f>
        <v>0</v>
      </c>
      <c r="F298">
        <f ca="1">IF(ISBLANK(A298), "", IF(SUMIFS('Annotated Papers'!H:H, 'Annotated Papers'!A:A,A298)&gt;0,1,0))</f>
        <v>1</v>
      </c>
      <c r="G298" t="e">
        <f ca="1">IF(ISBLANK(A298), "", IF(SUMIFS('Annotated Papers'!I:I, 'Annotated Papers'!A:A,A298)&gt;0,1,0))</f>
        <v>#NAME?</v>
      </c>
      <c r="H298">
        <f ca="1">IF(ISBLANK(A298), "", IF(SUMIFS('Annotated Papers'!L:L, 'Annotated Papers'!A:A,A298)&gt;0,1,0))</f>
        <v>0</v>
      </c>
      <c r="I298" s="24">
        <f ca="1">IF(ISBLANK(A298), "", VLOOKUP(A298,'Annotated Papers'!297:1336,4,FALSE))</f>
        <v>0</v>
      </c>
    </row>
    <row r="299" spans="1:9" ht="14">
      <c r="A299" s="26" t="str">
        <f ca="1">IFERROR(__xludf.DUMMYFUNCTION("""COMPUTED_VALUE"""),"Synthetic Data Made to Order: The Case of Parsing")</f>
        <v>Synthetic Data Made to Order: The Case of Parsing</v>
      </c>
      <c r="B299" t="str">
        <f ca="1">IF(ISBLANK(A299), "", VLOOKUP(A299,'Annotated Papers'!298:1337,2,FALSE))</f>
        <v>NLP</v>
      </c>
      <c r="C299" s="24">
        <f ca="1">IF(ISBLANK(A299), "", VLOOKUP(A299,'Annotated Papers'!298:1337,5,FALSE))</f>
        <v>1</v>
      </c>
      <c r="D299">
        <f ca="1">IF(ISBLANK(A299), "", IF(COUNTIF('Annotated Papers'!A:A,A299)&gt;1,1,0))</f>
        <v>0</v>
      </c>
      <c r="E299">
        <f ca="1">IF(ISBLANK(A299), "", IF(SUMIFS('Annotated Papers'!G:G, 'Annotated Papers'!A:A,A299)&gt;0,1,0))</f>
        <v>0</v>
      </c>
      <c r="F299">
        <f ca="1">IF(ISBLANK(A299), "", IF(SUMIFS('Annotated Papers'!H:H, 'Annotated Papers'!A:A,A299)&gt;0,1,0))</f>
        <v>1</v>
      </c>
      <c r="G299" t="e">
        <f ca="1">IF(ISBLANK(A299), "", IF(SUMIFS('Annotated Papers'!I:I, 'Annotated Papers'!A:A,A299)&gt;0,1,0))</f>
        <v>#NAME?</v>
      </c>
      <c r="H299">
        <f ca="1">IF(ISBLANK(A299), "", IF(SUMIFS('Annotated Papers'!L:L, 'Annotated Papers'!A:A,A299)&gt;0,1,0))</f>
        <v>0</v>
      </c>
      <c r="I299" s="24">
        <f ca="1">IF(ISBLANK(A299), "", VLOOKUP(A299,'Annotated Papers'!298:1337,4,FALSE))</f>
        <v>0</v>
      </c>
    </row>
    <row r="300" spans="1:9" ht="14">
      <c r="A300" s="25" t="str">
        <f ca="1">IFERROR(__xludf.DUMMYFUNCTION("""COMPUTED_VALUE"""),"Non-Markovian Globally Consistent Multi-Object Tracking")</f>
        <v>Non-Markovian Globally Consistent Multi-Object Tracking</v>
      </c>
      <c r="B300" t="str">
        <f ca="1">IF(ISBLANK(A300), "", VLOOKUP(A300,'Annotated Papers'!299:1338,2,FALSE))</f>
        <v>CV</v>
      </c>
      <c r="C300" s="24">
        <f ca="1">IF(ISBLANK(A300), "", VLOOKUP(A300,'Annotated Papers'!299:1338,5,FALSE))</f>
        <v>1</v>
      </c>
      <c r="D300">
        <f ca="1">IF(ISBLANK(A300), "", IF(COUNTIF('Annotated Papers'!A:A,A300)&gt;1,1,0))</f>
        <v>1</v>
      </c>
      <c r="E300">
        <f ca="1">IF(ISBLANK(A300), "", IF(SUMIFS('Annotated Papers'!G:G, 'Annotated Papers'!A:A,A300)&gt;0,1,0))</f>
        <v>0</v>
      </c>
      <c r="F300">
        <f ca="1">IF(ISBLANK(A300), "", IF(SUMIFS('Annotated Papers'!H:H, 'Annotated Papers'!A:A,A300)&gt;0,1,0))</f>
        <v>1</v>
      </c>
      <c r="G300" t="e">
        <f ca="1">IF(ISBLANK(A300), "", IF(SUMIFS('Annotated Papers'!I:I, 'Annotated Papers'!A:A,A300)&gt;0,1,0))</f>
        <v>#NAME?</v>
      </c>
      <c r="H300">
        <f ca="1">IF(ISBLANK(A300), "", IF(SUMIFS('Annotated Papers'!L:L, 'Annotated Papers'!A:A,A300)&gt;0,1,0))</f>
        <v>0</v>
      </c>
      <c r="I300" s="24">
        <f ca="1">IF(ISBLANK(A300), "", VLOOKUP(A300,'Annotated Papers'!299:1338,4,FALSE))</f>
        <v>0</v>
      </c>
    </row>
    <row r="301" spans="1:9" ht="14">
      <c r="A301" s="25" t="str">
        <f ca="1">IFERROR(__xludf.DUMMYFUNCTION("""COMPUTED_VALUE"""),"Visual Question Answering as a Meta Learning Task")</f>
        <v>Visual Question Answering as a Meta Learning Task</v>
      </c>
      <c r="B301" t="str">
        <f ca="1">IF(ISBLANK(A301), "", VLOOKUP(A301,'Annotated Papers'!300:1339,2,FALSE))</f>
        <v>CV</v>
      </c>
      <c r="C301" s="24">
        <f ca="1">IF(ISBLANK(A301), "", VLOOKUP(A301,'Annotated Papers'!300:1339,5,FALSE))</f>
        <v>0</v>
      </c>
      <c r="D301">
        <f ca="1">IF(ISBLANK(A301), "", IF(COUNTIF('Annotated Papers'!A:A,A301)&gt;1,1,0))</f>
        <v>0</v>
      </c>
      <c r="E301">
        <f ca="1">IF(ISBLANK(A301), "", IF(SUMIFS('Annotated Papers'!G:G, 'Annotated Papers'!A:A,A301)&gt;0,1,0))</f>
        <v>0</v>
      </c>
      <c r="F301">
        <f ca="1">IF(ISBLANK(A301), "", IF(SUMIFS('Annotated Papers'!H:H, 'Annotated Papers'!A:A,A301)&gt;0,1,0))</f>
        <v>1</v>
      </c>
      <c r="G301" t="e">
        <f ca="1">IF(ISBLANK(A301), "", IF(SUMIFS('Annotated Papers'!I:I, 'Annotated Papers'!A:A,A301)&gt;0,1,0))</f>
        <v>#NAME?</v>
      </c>
      <c r="H301">
        <f ca="1">IF(ISBLANK(A301), "", IF(SUMIFS('Annotated Papers'!L:L, 'Annotated Papers'!A:A,A301)&gt;0,1,0))</f>
        <v>0</v>
      </c>
      <c r="I301" s="24">
        <f ca="1">IF(ISBLANK(A301), "", VLOOKUP(A301,'Annotated Papers'!300:1339,4,FALSE))</f>
        <v>0</v>
      </c>
    </row>
    <row r="302" spans="1:9" ht="14">
      <c r="A302" s="25" t="str">
        <f ca="1">IFERROR(__xludf.DUMMYFUNCTION("""COMPUTED_VALUE"""),"Certified Defenses against Adversarial Examples")</f>
        <v>Certified Defenses against Adversarial Examples</v>
      </c>
      <c r="B302" t="str">
        <f ca="1">IF(ISBLANK(A302), "", VLOOKUP(A302,'Annotated Papers'!301:1340,2,FALSE))</f>
        <v>General</v>
      </c>
      <c r="C302" s="24">
        <f ca="1">IF(ISBLANK(A302), "", VLOOKUP(A302,'Annotated Papers'!301:1340,5,FALSE))</f>
        <v>1</v>
      </c>
      <c r="D302">
        <f ca="1">IF(ISBLANK(A302), "", IF(COUNTIF('Annotated Papers'!A:A,A302)&gt;1,1,0))</f>
        <v>0</v>
      </c>
      <c r="E302">
        <f ca="1">IF(ISBLANK(A302), "", IF(SUMIFS('Annotated Papers'!G:G, 'Annotated Papers'!A:A,A302)&gt;0,1,0))</f>
        <v>0</v>
      </c>
      <c r="F302">
        <f ca="1">IF(ISBLANK(A302), "", IF(SUMIFS('Annotated Papers'!H:H, 'Annotated Papers'!A:A,A302)&gt;0,1,0))</f>
        <v>1</v>
      </c>
      <c r="G302" t="e">
        <f ca="1">IF(ISBLANK(A302), "", IF(SUMIFS('Annotated Papers'!I:I, 'Annotated Papers'!A:A,A302)&gt;0,1,0))</f>
        <v>#NAME?</v>
      </c>
      <c r="H302">
        <f ca="1">IF(ISBLANK(A302), "", IF(SUMIFS('Annotated Papers'!L:L, 'Annotated Papers'!A:A,A302)&gt;0,1,0))</f>
        <v>0</v>
      </c>
      <c r="I302" s="24">
        <f ca="1">IF(ISBLANK(A302), "", VLOOKUP(A302,'Annotated Papers'!301:1340,4,FALSE))</f>
        <v>0</v>
      </c>
    </row>
    <row r="303" spans="1:9" ht="14">
      <c r="A303" s="25" t="str">
        <f ca="1">IFERROR(__xludf.DUMMYFUNCTION("""COMPUTED_VALUE"""),"Large scale distributed neural network training through online distillation")</f>
        <v>Large scale distributed neural network training through online distillation</v>
      </c>
      <c r="B303" t="str">
        <f ca="1">IF(ISBLANK(A303), "", VLOOKUP(A303,'Annotated Papers'!302:1341,2,FALSE))</f>
        <v>General</v>
      </c>
      <c r="C303" s="24">
        <f ca="1">IF(ISBLANK(A303), "", VLOOKUP(A303,'Annotated Papers'!302:1341,5,FALSE))</f>
        <v>0</v>
      </c>
      <c r="D303">
        <f ca="1">IF(ISBLANK(A303), "", IF(COUNTIF('Annotated Papers'!A:A,A303)&gt;1,1,0))</f>
        <v>1</v>
      </c>
      <c r="E303">
        <f ca="1">IF(ISBLANK(A303), "", IF(SUMIFS('Annotated Papers'!G:G, 'Annotated Papers'!A:A,A303)&gt;0,1,0))</f>
        <v>0</v>
      </c>
      <c r="F303">
        <f ca="1">IF(ISBLANK(A303), "", IF(SUMIFS('Annotated Papers'!H:H, 'Annotated Papers'!A:A,A303)&gt;0,1,0))</f>
        <v>1</v>
      </c>
      <c r="G303" t="e">
        <f ca="1">IF(ISBLANK(A303), "", IF(SUMIFS('Annotated Papers'!I:I, 'Annotated Papers'!A:A,A303)&gt;0,1,0))</f>
        <v>#NAME?</v>
      </c>
      <c r="H303">
        <f ca="1">IF(ISBLANK(A303), "", IF(SUMIFS('Annotated Papers'!L:L, 'Annotated Papers'!A:A,A303)&gt;0,1,0))</f>
        <v>1</v>
      </c>
      <c r="I303" s="24">
        <f ca="1">IF(ISBLANK(A303), "", VLOOKUP(A303,'Annotated Papers'!302:1341,4,FALSE))</f>
        <v>0</v>
      </c>
    </row>
    <row r="304" spans="1:9" ht="14">
      <c r="A304" s="25" t="str">
        <f ca="1">IFERROR(__xludf.DUMMYFUNCTION("""COMPUTED_VALUE"""),"ACTIVATION MAXIMIZATION GENERATIVE ADVERSARIAL NETS")</f>
        <v>ACTIVATION MAXIMIZATION GENERATIVE ADVERSARIAL NETS</v>
      </c>
      <c r="B304" t="str">
        <f ca="1">IF(ISBLANK(A304), "", VLOOKUP(A304,'Annotated Papers'!303:1342,2,FALSE))</f>
        <v>General</v>
      </c>
      <c r="C304" s="24">
        <f ca="1">IF(ISBLANK(A304), "", VLOOKUP(A304,'Annotated Papers'!303:1342,5,FALSE))</f>
        <v>1</v>
      </c>
      <c r="D304">
        <f ca="1">IF(ISBLANK(A304), "", IF(COUNTIF('Annotated Papers'!A:A,A304)&gt;1,1,0))</f>
        <v>1</v>
      </c>
      <c r="E304">
        <f ca="1">IF(ISBLANK(A304), "", IF(SUMIFS('Annotated Papers'!G:G, 'Annotated Papers'!A:A,A304)&gt;0,1,0))</f>
        <v>0</v>
      </c>
      <c r="F304">
        <f ca="1">IF(ISBLANK(A304), "", IF(SUMIFS('Annotated Papers'!H:H, 'Annotated Papers'!A:A,A304)&gt;0,1,0))</f>
        <v>1</v>
      </c>
      <c r="G304" t="e">
        <f ca="1">IF(ISBLANK(A304), "", IF(SUMIFS('Annotated Papers'!I:I, 'Annotated Papers'!A:A,A304)&gt;0,1,0))</f>
        <v>#NAME?</v>
      </c>
      <c r="H304">
        <f ca="1">IF(ISBLANK(A304), "", IF(SUMIFS('Annotated Papers'!L:L, 'Annotated Papers'!A:A,A304)&gt;0,1,0))</f>
        <v>1</v>
      </c>
      <c r="I304" s="24">
        <f ca="1">IF(ISBLANK(A304), "", VLOOKUP(A304,'Annotated Papers'!303:1342,4,FALSE))</f>
        <v>0</v>
      </c>
    </row>
    <row r="305" spans="1:9" ht="14">
      <c r="A305" s="25" t="str">
        <f ca="1">IFERROR(__xludf.DUMMYFUNCTION("""COMPUTED_VALUE"""),"Diffusion Convolutional Recurrent Neural Network: Data-Driven Traffic Forecasting")</f>
        <v>Diffusion Convolutional Recurrent Neural Network: Data-Driven Traffic Forecasting</v>
      </c>
      <c r="B305" t="str">
        <f ca="1">IF(ISBLANK(A305), "", VLOOKUP(A305,'Annotated Papers'!304:1343,2,FALSE))</f>
        <v>General</v>
      </c>
      <c r="C305" s="24">
        <f ca="1">IF(ISBLANK(A305), "", VLOOKUP(A305,'Annotated Papers'!304:1343,5,FALSE))</f>
        <v>1</v>
      </c>
      <c r="D305">
        <f ca="1">IF(ISBLANK(A305), "", IF(COUNTIF('Annotated Papers'!A:A,A305)&gt;1,1,0))</f>
        <v>1</v>
      </c>
      <c r="E305">
        <f ca="1">IF(ISBLANK(A305), "", IF(SUMIFS('Annotated Papers'!G:G, 'Annotated Papers'!A:A,A305)&gt;0,1,0))</f>
        <v>0</v>
      </c>
      <c r="F305">
        <f ca="1">IF(ISBLANK(A305), "", IF(SUMIFS('Annotated Papers'!H:H, 'Annotated Papers'!A:A,A305)&gt;0,1,0))</f>
        <v>1</v>
      </c>
      <c r="G305" t="e">
        <f ca="1">IF(ISBLANK(A305), "", IF(SUMIFS('Annotated Papers'!I:I, 'Annotated Papers'!A:A,A305)&gt;0,1,0))</f>
        <v>#NAME?</v>
      </c>
      <c r="H305">
        <f ca="1">IF(ISBLANK(A305), "", IF(SUMIFS('Annotated Papers'!L:L, 'Annotated Papers'!A:A,A305)&gt;0,1,0))</f>
        <v>1</v>
      </c>
      <c r="I305" s="24">
        <f ca="1">IF(ISBLANK(A305), "", VLOOKUP(A305,'Annotated Papers'!304:1343,4,FALSE))</f>
        <v>0</v>
      </c>
    </row>
    <row r="306" spans="1:9" ht="14">
      <c r="A306" s="25" t="str">
        <f ca="1">IFERROR(__xludf.DUMMYFUNCTION("""COMPUTED_VALUE"""),"Unsupervised Neural Machine Translation")</f>
        <v>Unsupervised Neural Machine Translation</v>
      </c>
      <c r="B306" t="str">
        <f ca="1">IF(ISBLANK(A306), "", VLOOKUP(A306,'Annotated Papers'!305:1344,2,FALSE))</f>
        <v>General</v>
      </c>
      <c r="C306" s="24">
        <f ca="1">IF(ISBLANK(A306), "", VLOOKUP(A306,'Annotated Papers'!305:1344,5,FALSE))</f>
        <v>1</v>
      </c>
      <c r="D306">
        <f ca="1">IF(ISBLANK(A306), "", IF(COUNTIF('Annotated Papers'!A:A,A306)&gt;1,1,0))</f>
        <v>0</v>
      </c>
      <c r="E306">
        <f ca="1">IF(ISBLANK(A306), "", IF(SUMIFS('Annotated Papers'!G:G, 'Annotated Papers'!A:A,A306)&gt;0,1,0))</f>
        <v>0</v>
      </c>
      <c r="F306">
        <f ca="1">IF(ISBLANK(A306), "", IF(SUMIFS('Annotated Papers'!H:H, 'Annotated Papers'!A:A,A306)&gt;0,1,0))</f>
        <v>1</v>
      </c>
      <c r="G306" t="e">
        <f ca="1">IF(ISBLANK(A306), "", IF(SUMIFS('Annotated Papers'!I:I, 'Annotated Papers'!A:A,A306)&gt;0,1,0))</f>
        <v>#NAME?</v>
      </c>
      <c r="H306">
        <f ca="1">IF(ISBLANK(A306), "", IF(SUMIFS('Annotated Papers'!L:L, 'Annotated Papers'!A:A,A306)&gt;0,1,0))</f>
        <v>0</v>
      </c>
      <c r="I306" s="24">
        <f ca="1">IF(ISBLANK(A306), "", VLOOKUP(A306,'Annotated Papers'!305:1344,4,FALSE))</f>
        <v>0</v>
      </c>
    </row>
    <row r="307" spans="1:9" ht="14">
      <c r="A307" s="25" t="str">
        <f ca="1">IFERROR(__xludf.DUMMYFUNCTION("""COMPUTED_VALUE"""),"Densely Connected Attention Propagation for Reading Comprehension")</f>
        <v>Densely Connected Attention Propagation for Reading Comprehension</v>
      </c>
      <c r="B307" t="str">
        <f ca="1">IF(ISBLANK(A307), "", VLOOKUP(A307,'Annotated Papers'!306:1345,2,FALSE))</f>
        <v>General</v>
      </c>
      <c r="C307" s="24">
        <f ca="1">IF(ISBLANK(A307), "", VLOOKUP(A307,'Annotated Papers'!306:1345,5,FALSE))</f>
        <v>0</v>
      </c>
      <c r="D307">
        <f ca="1">IF(ISBLANK(A307), "", IF(COUNTIF('Annotated Papers'!A:A,A307)&gt;1,1,0))</f>
        <v>1</v>
      </c>
      <c r="E307">
        <f ca="1">IF(ISBLANK(A307), "", IF(SUMIFS('Annotated Papers'!G:G, 'Annotated Papers'!A:A,A307)&gt;0,1,0))</f>
        <v>0</v>
      </c>
      <c r="F307">
        <f ca="1">IF(ISBLANK(A307), "", IF(SUMIFS('Annotated Papers'!H:H, 'Annotated Papers'!A:A,A307)&gt;0,1,0))</f>
        <v>1</v>
      </c>
      <c r="G307" t="e">
        <f ca="1">IF(ISBLANK(A307), "", IF(SUMIFS('Annotated Papers'!I:I, 'Annotated Papers'!A:A,A307)&gt;0,1,0))</f>
        <v>#NAME?</v>
      </c>
      <c r="H307">
        <f ca="1">IF(ISBLANK(A307), "", IF(SUMIFS('Annotated Papers'!L:L, 'Annotated Papers'!A:A,A307)&gt;0,1,0))</f>
        <v>1</v>
      </c>
      <c r="I307" s="24">
        <f ca="1">IF(ISBLANK(A307), "", VLOOKUP(A307,'Annotated Papers'!306:1345,4,FALSE))</f>
        <v>0</v>
      </c>
    </row>
    <row r="308" spans="1:9" ht="14">
      <c r="A308" s="25" t="str">
        <f ca="1">IFERROR(__xludf.DUMMYFUNCTION("""COMPUTED_VALUE"""),"Content-Based Citation Recommendation")</f>
        <v>Content-Based Citation Recommendation</v>
      </c>
      <c r="B308" t="str">
        <f ca="1">IF(ISBLANK(A308), "", VLOOKUP(A308,'Annotated Papers'!307:1346,2,FALSE))</f>
        <v>NLP</v>
      </c>
      <c r="C308" s="24">
        <f ca="1">IF(ISBLANK(A308), "", VLOOKUP(A308,'Annotated Papers'!307:1346,5,FALSE))</f>
        <v>1</v>
      </c>
      <c r="D308">
        <f ca="1">IF(ISBLANK(A308), "", IF(COUNTIF('Annotated Papers'!A:A,A308)&gt;1,1,0))</f>
        <v>1</v>
      </c>
      <c r="E308">
        <f ca="1">IF(ISBLANK(A308), "", IF(SUMIFS('Annotated Papers'!G:G, 'Annotated Papers'!A:A,A308)&gt;0,1,0))</f>
        <v>0</v>
      </c>
      <c r="F308">
        <f ca="1">IF(ISBLANK(A308), "", IF(SUMIFS('Annotated Papers'!H:H, 'Annotated Papers'!A:A,A308)&gt;0,1,0))</f>
        <v>1</v>
      </c>
      <c r="G308" t="e">
        <f ca="1">IF(ISBLANK(A308), "", IF(SUMIFS('Annotated Papers'!I:I, 'Annotated Papers'!A:A,A308)&gt;0,1,0))</f>
        <v>#NAME?</v>
      </c>
      <c r="H308">
        <f ca="1">IF(ISBLANK(A308), "", IF(SUMIFS('Annotated Papers'!L:L, 'Annotated Papers'!A:A,A308)&gt;0,1,0))</f>
        <v>1</v>
      </c>
      <c r="I308" s="24">
        <f ca="1">IF(ISBLANK(A308), "", VLOOKUP(A308,'Annotated Papers'!307:1346,4,FALSE))</f>
        <v>0</v>
      </c>
    </row>
    <row r="309" spans="1:9" ht="14">
      <c r="A309" s="25" t="str">
        <f ca="1">IFERROR(__xludf.DUMMYFUNCTION("""COMPUTED_VALUE"""),"Hybrid-MST: A Hybrid Active Sampling Strategy for Pairwise Preference Aggregation")</f>
        <v>Hybrid-MST: A Hybrid Active Sampling Strategy for Pairwise Preference Aggregation</v>
      </c>
      <c r="B309" t="str">
        <f ca="1">IF(ISBLANK(A309), "", VLOOKUP(A309,'Annotated Papers'!308:1347,2,FALSE))</f>
        <v>General</v>
      </c>
      <c r="C309" s="24">
        <f ca="1">IF(ISBLANK(A309), "", VLOOKUP(A309,'Annotated Papers'!308:1347,5,FALSE))</f>
        <v>1</v>
      </c>
      <c r="D309">
        <f ca="1">IF(ISBLANK(A309), "", IF(COUNTIF('Annotated Papers'!A:A,A309)&gt;1,1,0))</f>
        <v>1</v>
      </c>
      <c r="E309">
        <f ca="1">IF(ISBLANK(A309), "", IF(SUMIFS('Annotated Papers'!G:G, 'Annotated Papers'!A:A,A309)&gt;0,1,0))</f>
        <v>0</v>
      </c>
      <c r="F309">
        <f ca="1">IF(ISBLANK(A309), "", IF(SUMIFS('Annotated Papers'!H:H, 'Annotated Papers'!A:A,A309)&gt;0,1,0))</f>
        <v>1</v>
      </c>
      <c r="G309" t="e">
        <f ca="1">IF(ISBLANK(A309), "", IF(SUMIFS('Annotated Papers'!I:I, 'Annotated Papers'!A:A,A309)&gt;0,1,0))</f>
        <v>#NAME?</v>
      </c>
      <c r="H309">
        <f ca="1">IF(ISBLANK(A309), "", IF(SUMIFS('Annotated Papers'!L:L, 'Annotated Papers'!A:A,A309)&gt;0,1,0))</f>
        <v>0</v>
      </c>
      <c r="I309" s="24">
        <f ca="1">IF(ISBLANK(A309), "", VLOOKUP(A309,'Annotated Papers'!308:1347,4,FALSE))</f>
        <v>0</v>
      </c>
    </row>
    <row r="310" spans="1:9" ht="14">
      <c r="A310" s="25" t="str">
        <f ca="1">IFERROR(__xludf.DUMMYFUNCTION("""COMPUTED_VALUE"""),"Adversarially Robust Optimization with Gaussian Processes")</f>
        <v>Adversarially Robust Optimization with Gaussian Processes</v>
      </c>
      <c r="B310" t="str">
        <f ca="1">IF(ISBLANK(A310), "", VLOOKUP(A310,'Annotated Papers'!309:1348,2,FALSE))</f>
        <v>General</v>
      </c>
      <c r="C310" s="24">
        <f ca="1">IF(ISBLANK(A310), "", VLOOKUP(A310,'Annotated Papers'!309:1348,5,FALSE))</f>
        <v>1</v>
      </c>
      <c r="D310">
        <f ca="1">IF(ISBLANK(A310), "", IF(COUNTIF('Annotated Papers'!A:A,A310)&gt;1,1,0))</f>
        <v>0</v>
      </c>
      <c r="E310">
        <f ca="1">IF(ISBLANK(A310), "", IF(SUMIFS('Annotated Papers'!G:G, 'Annotated Papers'!A:A,A310)&gt;0,1,0))</f>
        <v>0</v>
      </c>
      <c r="F310">
        <f ca="1">IF(ISBLANK(A310), "", IF(SUMIFS('Annotated Papers'!H:H, 'Annotated Papers'!A:A,A310)&gt;0,1,0))</f>
        <v>1</v>
      </c>
      <c r="G310" t="e">
        <f ca="1">IF(ISBLANK(A310), "", IF(SUMIFS('Annotated Papers'!I:I, 'Annotated Papers'!A:A,A310)&gt;0,1,0))</f>
        <v>#NAME?</v>
      </c>
      <c r="H310">
        <f ca="1">IF(ISBLANK(A310), "", IF(SUMIFS('Annotated Papers'!L:L, 'Annotated Papers'!A:A,A310)&gt;0,1,0))</f>
        <v>1</v>
      </c>
      <c r="I310" s="24">
        <f ca="1">IF(ISBLANK(A310), "", VLOOKUP(A310,'Annotated Papers'!309:1348,4,FALSE))</f>
        <v>0</v>
      </c>
    </row>
    <row r="311" spans="1:9" ht="14">
      <c r="A311" s="25" t="str">
        <f ca="1">IFERROR(__xludf.DUMMYFUNCTION("""COMPUTED_VALUE"""),"Deep Network for the Integrated 3D Sensing of Multiple People in Natural Images")</f>
        <v>Deep Network for the Integrated 3D Sensing of Multiple People in Natural Images</v>
      </c>
      <c r="B311" t="str">
        <f ca="1">IF(ISBLANK(A311), "", VLOOKUP(A311,'Annotated Papers'!310:1349,2,FALSE))</f>
        <v>General</v>
      </c>
      <c r="C311" s="24">
        <f ca="1">IF(ISBLANK(A311), "", VLOOKUP(A311,'Annotated Papers'!310:1349,5,FALSE))</f>
        <v>0</v>
      </c>
      <c r="D311">
        <f ca="1">IF(ISBLANK(A311), "", IF(COUNTIF('Annotated Papers'!A:A,A311)&gt;1,1,0))</f>
        <v>1</v>
      </c>
      <c r="E311">
        <f ca="1">IF(ISBLANK(A311), "", IF(SUMIFS('Annotated Papers'!G:G, 'Annotated Papers'!A:A,A311)&gt;0,1,0))</f>
        <v>0</v>
      </c>
      <c r="F311">
        <f ca="1">IF(ISBLANK(A311), "", IF(SUMIFS('Annotated Papers'!H:H, 'Annotated Papers'!A:A,A311)&gt;0,1,0))</f>
        <v>1</v>
      </c>
      <c r="G311" t="e">
        <f ca="1">IF(ISBLANK(A311), "", IF(SUMIFS('Annotated Papers'!I:I, 'Annotated Papers'!A:A,A311)&gt;0,1,0))</f>
        <v>#NAME?</v>
      </c>
      <c r="H311">
        <f ca="1">IF(ISBLANK(A311), "", IF(SUMIFS('Annotated Papers'!L:L, 'Annotated Papers'!A:A,A311)&gt;0,1,0))</f>
        <v>0</v>
      </c>
      <c r="I311" s="24">
        <f ca="1">IF(ISBLANK(A311), "", VLOOKUP(A311,'Annotated Papers'!310:1349,4,FALSE))</f>
        <v>0</v>
      </c>
    </row>
    <row r="312" spans="1:9" ht="14">
      <c r="A312" s="25" t="str">
        <f ca="1">IFERROR(__xludf.DUMMYFUNCTION("""COMPUTED_VALUE"""),"On the Generalization of Equivariance and Convolution in Neural Networks to the Action of Compact Groups")</f>
        <v>On the Generalization of Equivariance and Convolution in Neural Networks to the Action of Compact Groups</v>
      </c>
      <c r="B312" t="str">
        <f ca="1">IF(ISBLANK(A312), "", VLOOKUP(A312,'Annotated Papers'!311:1350,2,FALSE))</f>
        <v>General</v>
      </c>
      <c r="C312" s="24">
        <f ca="1">IF(ISBLANK(A312), "", VLOOKUP(A312,'Annotated Papers'!311:1350,5,FALSE))</f>
        <v>0</v>
      </c>
      <c r="D312">
        <f ca="1">IF(ISBLANK(A312), "", IF(COUNTIF('Annotated Papers'!A:A,A312)&gt;1,1,0))</f>
        <v>0</v>
      </c>
      <c r="E312">
        <f ca="1">IF(ISBLANK(A312), "", IF(SUMIFS('Annotated Papers'!G:G, 'Annotated Papers'!A:A,A312)&gt;0,1,0))</f>
        <v>0</v>
      </c>
      <c r="F312">
        <f ca="1">IF(ISBLANK(A312), "", IF(SUMIFS('Annotated Papers'!H:H, 'Annotated Papers'!A:A,A312)&gt;0,1,0))</f>
        <v>0</v>
      </c>
      <c r="G312">
        <f ca="1">IF(ISBLANK(A312), "", IF(SUMIFS('Annotated Papers'!I:I, 'Annotated Papers'!A:A,A312)&gt;0,1,0))</f>
        <v>0</v>
      </c>
      <c r="H312">
        <f ca="1">IF(ISBLANK(A312), "", IF(SUMIFS('Annotated Papers'!L:L, 'Annotated Papers'!A:A,A312)&gt;0,1,0))</f>
        <v>0</v>
      </c>
      <c r="I312" s="24">
        <f ca="1">IF(ISBLANK(A312), "", VLOOKUP(A312,'Annotated Papers'!311:1350,4,FALSE))</f>
        <v>1</v>
      </c>
    </row>
    <row r="313" spans="1:9" ht="14">
      <c r="A313" s="25" t="str">
        <f ca="1">IFERROR(__xludf.DUMMYFUNCTION("""COMPUTED_VALUE"""),"Looking Beyond the Surface: A Challenge Set for Reading Comprehension over Multiple Sentences")</f>
        <v>Looking Beyond the Surface: A Challenge Set for Reading Comprehension over Multiple Sentences</v>
      </c>
      <c r="B313" t="str">
        <f ca="1">IF(ISBLANK(A313), "", VLOOKUP(A313,'Annotated Papers'!312:1351,2,FALSE))</f>
        <v>NLP</v>
      </c>
      <c r="C313" s="24">
        <f ca="1">IF(ISBLANK(A313), "", VLOOKUP(A313,'Annotated Papers'!312:1351,5,FALSE))</f>
        <v>1</v>
      </c>
      <c r="D313">
        <f ca="1">IF(ISBLANK(A313), "", IF(COUNTIF('Annotated Papers'!A:A,A313)&gt;1,1,0))</f>
        <v>0</v>
      </c>
      <c r="E313">
        <f ca="1">IF(ISBLANK(A313), "", IF(SUMIFS('Annotated Papers'!G:G, 'Annotated Papers'!A:A,A313)&gt;0,1,0))</f>
        <v>0</v>
      </c>
      <c r="F313">
        <f ca="1">IF(ISBLANK(A313), "", IF(SUMIFS('Annotated Papers'!H:H, 'Annotated Papers'!A:A,A313)&gt;0,1,0))</f>
        <v>1</v>
      </c>
      <c r="G313" t="e">
        <f ca="1">IF(ISBLANK(A313), "", IF(SUMIFS('Annotated Papers'!I:I, 'Annotated Papers'!A:A,A313)&gt;0,1,0))</f>
        <v>#NAME?</v>
      </c>
      <c r="H313">
        <f ca="1">IF(ISBLANK(A313), "", IF(SUMIFS('Annotated Papers'!L:L, 'Annotated Papers'!A:A,A313)&gt;0,1,0))</f>
        <v>0</v>
      </c>
      <c r="I313" s="24">
        <f ca="1">IF(ISBLANK(A313), "", VLOOKUP(A313,'Annotated Papers'!312:1351,4,FALSE))</f>
        <v>0</v>
      </c>
    </row>
    <row r="314" spans="1:9" ht="14">
      <c r="A314" s="25" t="str">
        <f ca="1">IFERROR(__xludf.DUMMYFUNCTION("""COMPUTED_VALUE"""),"Deep, complex, invertible networks for inversion of transmission effects in multimode optical fibres")</f>
        <v>Deep, complex, invertible networks for inversion of transmission effects in multimode optical fibres</v>
      </c>
      <c r="B314" t="str">
        <f ca="1">IF(ISBLANK(A314), "", VLOOKUP(A314,'Annotated Papers'!313:1352,2,FALSE))</f>
        <v>General</v>
      </c>
      <c r="C314" s="24">
        <f ca="1">IF(ISBLANK(A314), "", VLOOKUP(A314,'Annotated Papers'!313:1352,5,FALSE))</f>
        <v>1</v>
      </c>
      <c r="D314">
        <f ca="1">IF(ISBLANK(A314), "", IF(COUNTIF('Annotated Papers'!A:A,A314)&gt;1,1,0))</f>
        <v>0</v>
      </c>
      <c r="E314">
        <f ca="1">IF(ISBLANK(A314), "", IF(SUMIFS('Annotated Papers'!G:G, 'Annotated Papers'!A:A,A314)&gt;0,1,0))</f>
        <v>0</v>
      </c>
      <c r="F314">
        <f ca="1">IF(ISBLANK(A314), "", IF(SUMIFS('Annotated Papers'!H:H, 'Annotated Papers'!A:A,A314)&gt;0,1,0))</f>
        <v>1</v>
      </c>
      <c r="G314" t="e">
        <f ca="1">IF(ISBLANK(A314), "", IF(SUMIFS('Annotated Papers'!I:I, 'Annotated Papers'!A:A,A314)&gt;0,1,0))</f>
        <v>#NAME?</v>
      </c>
      <c r="H314">
        <f ca="1">IF(ISBLANK(A314), "", IF(SUMIFS('Annotated Papers'!L:L, 'Annotated Papers'!A:A,A314)&gt;0,1,0))</f>
        <v>0</v>
      </c>
      <c r="I314" s="24">
        <f ca="1">IF(ISBLANK(A314), "", VLOOKUP(A314,'Annotated Papers'!313:1352,4,FALSE))</f>
        <v>0</v>
      </c>
    </row>
    <row r="315" spans="1:9" ht="14">
      <c r="A315" s="25" t="str">
        <f ca="1">IFERROR(__xludf.DUMMYFUNCTION("""COMPUTED_VALUE"""),"Neural Architecture Optimization")</f>
        <v>Neural Architecture Optimization</v>
      </c>
      <c r="B315" t="str">
        <f ca="1">IF(ISBLANK(A315), "", VLOOKUP(A315,'Annotated Papers'!314:1353,2,FALSE))</f>
        <v>General</v>
      </c>
      <c r="C315" s="24">
        <f ca="1">IF(ISBLANK(A315), "", VLOOKUP(A315,'Annotated Papers'!314:1353,5,FALSE))</f>
        <v>1</v>
      </c>
      <c r="D315">
        <f ca="1">IF(ISBLANK(A315), "", IF(COUNTIF('Annotated Papers'!A:A,A315)&gt;1,1,0))</f>
        <v>1</v>
      </c>
      <c r="E315">
        <f ca="1">IF(ISBLANK(A315), "", IF(SUMIFS('Annotated Papers'!G:G, 'Annotated Papers'!A:A,A315)&gt;0,1,0))</f>
        <v>0</v>
      </c>
      <c r="F315">
        <f ca="1">IF(ISBLANK(A315), "", IF(SUMIFS('Annotated Papers'!H:H, 'Annotated Papers'!A:A,A315)&gt;0,1,0))</f>
        <v>1</v>
      </c>
      <c r="G315" t="e">
        <f ca="1">IF(ISBLANK(A315), "", IF(SUMIFS('Annotated Papers'!I:I, 'Annotated Papers'!A:A,A315)&gt;0,1,0))</f>
        <v>#NAME?</v>
      </c>
      <c r="H315">
        <f ca="1">IF(ISBLANK(A315), "", IF(SUMIFS('Annotated Papers'!L:L, 'Annotated Papers'!A:A,A315)&gt;0,1,0))</f>
        <v>0</v>
      </c>
      <c r="I315" s="24">
        <f ca="1">IF(ISBLANK(A315), "", VLOOKUP(A315,'Annotated Papers'!314:1353,4,FALSE))</f>
        <v>0</v>
      </c>
    </row>
    <row r="316" spans="1:9" ht="14">
      <c r="A316" s="25" t="str">
        <f ca="1">IFERROR(__xludf.DUMMYFUNCTION("""COMPUTED_VALUE"""),"Zero-shot Sequence Labeling:
Transferring Knowledge from Sentences to Tokens")</f>
        <v>Zero-shot Sequence Labeling:
Transferring Knowledge from Sentences to Tokens</v>
      </c>
      <c r="B316" t="str">
        <f ca="1">IF(ISBLANK(A316), "", VLOOKUP(A316,'Annotated Papers'!315:1354,2,FALSE))</f>
        <v>NLP</v>
      </c>
      <c r="C316" s="24">
        <f ca="1">IF(ISBLANK(A316), "", VLOOKUP(A316,'Annotated Papers'!315:1354,5,FALSE))</f>
        <v>1</v>
      </c>
      <c r="D316">
        <f ca="1">IF(ISBLANK(A316), "", IF(COUNTIF('Annotated Papers'!A:A,A316)&gt;1,1,0))</f>
        <v>1</v>
      </c>
      <c r="E316">
        <f ca="1">IF(ISBLANK(A316), "", IF(SUMIFS('Annotated Papers'!G:G, 'Annotated Papers'!A:A,A316)&gt;0,1,0))</f>
        <v>1</v>
      </c>
      <c r="F316">
        <f ca="1">IF(ISBLANK(A316), "", IF(SUMIFS('Annotated Papers'!H:H, 'Annotated Papers'!A:A,A316)&gt;0,1,0))</f>
        <v>1</v>
      </c>
      <c r="G316" t="e">
        <f ca="1">IF(ISBLANK(A316), "", IF(SUMIFS('Annotated Papers'!I:I, 'Annotated Papers'!A:A,A316)&gt;0,1,0))</f>
        <v>#NAME?</v>
      </c>
      <c r="H316">
        <f ca="1">IF(ISBLANK(A316), "", IF(SUMIFS('Annotated Papers'!L:L, 'Annotated Papers'!A:A,A316)&gt;0,1,0))</f>
        <v>0</v>
      </c>
      <c r="I316" s="24">
        <f ca="1">IF(ISBLANK(A316), "", VLOOKUP(A316,'Annotated Papers'!315:1354,4,FALSE))</f>
        <v>0</v>
      </c>
    </row>
    <row r="317" spans="1:9" ht="14">
      <c r="A317" s="25" t="str">
        <f ca="1">IFERROR(__xludf.DUMMYFUNCTION("""COMPUTED_VALUE"""),"PixelSNAIL: An Improved Autoregressive Generative Model")</f>
        <v>PixelSNAIL: An Improved Autoregressive Generative Model</v>
      </c>
      <c r="B317" t="str">
        <f ca="1">IF(ISBLANK(A317), "", VLOOKUP(A317,'Annotated Papers'!316:1355,2,FALSE))</f>
        <v>General</v>
      </c>
      <c r="C317" s="24">
        <f ca="1">IF(ISBLANK(A317), "", VLOOKUP(A317,'Annotated Papers'!316:1355,5,FALSE))</f>
        <v>1</v>
      </c>
      <c r="D317">
        <f ca="1">IF(ISBLANK(A317), "", IF(COUNTIF('Annotated Papers'!A:A,A317)&gt;1,1,0))</f>
        <v>1</v>
      </c>
      <c r="E317">
        <f ca="1">IF(ISBLANK(A317), "", IF(SUMIFS('Annotated Papers'!G:G, 'Annotated Papers'!A:A,A317)&gt;0,1,0))</f>
        <v>0</v>
      </c>
      <c r="F317">
        <f ca="1">IF(ISBLANK(A317), "", IF(SUMIFS('Annotated Papers'!H:H, 'Annotated Papers'!A:A,A317)&gt;0,1,0))</f>
        <v>1</v>
      </c>
      <c r="G317" t="e">
        <f ca="1">IF(ISBLANK(A317), "", IF(SUMIFS('Annotated Papers'!I:I, 'Annotated Papers'!A:A,A317)&gt;0,1,0))</f>
        <v>#NAME?</v>
      </c>
      <c r="H317">
        <f ca="1">IF(ISBLANK(A317), "", IF(SUMIFS('Annotated Papers'!L:L, 'Annotated Papers'!A:A,A317)&gt;0,1,0))</f>
        <v>0</v>
      </c>
      <c r="I317" s="24">
        <f ca="1">IF(ISBLANK(A317), "", VLOOKUP(A317,'Annotated Papers'!316:1355,4,FALSE))</f>
        <v>0</v>
      </c>
    </row>
    <row r="318" spans="1:9" ht="14">
      <c r="A318" s="25" t="str">
        <f ca="1">IFERROR(__xludf.DUMMYFUNCTION("""COMPUTED_VALUE"""),"Transformation Autoregressive Networks")</f>
        <v>Transformation Autoregressive Networks</v>
      </c>
      <c r="B318" t="str">
        <f ca="1">IF(ISBLANK(A318), "", VLOOKUP(A318,'Annotated Papers'!317:1356,2,FALSE))</f>
        <v>General</v>
      </c>
      <c r="C318" s="24">
        <f ca="1">IF(ISBLANK(A318), "", VLOOKUP(A318,'Annotated Papers'!317:1356,5,FALSE))</f>
        <v>1</v>
      </c>
      <c r="D318">
        <f ca="1">IF(ISBLANK(A318), "", IF(COUNTIF('Annotated Papers'!A:A,A318)&gt;1,1,0))</f>
        <v>1</v>
      </c>
      <c r="E318">
        <f ca="1">IF(ISBLANK(A318), "", IF(SUMIFS('Annotated Papers'!G:G, 'Annotated Papers'!A:A,A318)&gt;0,1,0))</f>
        <v>0</v>
      </c>
      <c r="F318">
        <f ca="1">IF(ISBLANK(A318), "", IF(SUMIFS('Annotated Papers'!H:H, 'Annotated Papers'!A:A,A318)&gt;0,1,0))</f>
        <v>1</v>
      </c>
      <c r="G318" t="e">
        <f ca="1">IF(ISBLANK(A318), "", IF(SUMIFS('Annotated Papers'!I:I, 'Annotated Papers'!A:A,A318)&gt;0,1,0))</f>
        <v>#NAME?</v>
      </c>
      <c r="H318">
        <f ca="1">IF(ISBLANK(A318), "", IF(SUMIFS('Annotated Papers'!L:L, 'Annotated Papers'!A:A,A318)&gt;0,1,0))</f>
        <v>1</v>
      </c>
      <c r="I318" s="24">
        <f ca="1">IF(ISBLANK(A318), "", VLOOKUP(A318,'Annotated Papers'!317:1356,4,FALSE))</f>
        <v>0</v>
      </c>
    </row>
    <row r="319" spans="1:9" ht="14">
      <c r="A319" s="25" t="str">
        <f ca="1">IFERROR(__xludf.DUMMYFUNCTION("""COMPUTED_VALUE"""),"Tensorized Projection for High-Dimensional Binary Embedding")</f>
        <v>Tensorized Projection for High-Dimensional Binary Embedding</v>
      </c>
      <c r="B319" t="str">
        <f ca="1">IF(ISBLANK(A319), "", VLOOKUP(A319,'Annotated Papers'!318:1357,2,FALSE))</f>
        <v>General</v>
      </c>
      <c r="C319" s="24">
        <f ca="1">IF(ISBLANK(A319), "", VLOOKUP(A319,'Annotated Papers'!318:1357,5,FALSE))</f>
        <v>1</v>
      </c>
      <c r="D319">
        <f ca="1">IF(ISBLANK(A319), "", IF(COUNTIF('Annotated Papers'!A:A,A319)&gt;1,1,0))</f>
        <v>1</v>
      </c>
      <c r="E319">
        <f ca="1">IF(ISBLANK(A319), "", IF(SUMIFS('Annotated Papers'!G:G, 'Annotated Papers'!A:A,A319)&gt;0,1,0))</f>
        <v>0</v>
      </c>
      <c r="F319">
        <f ca="1">IF(ISBLANK(A319), "", IF(SUMIFS('Annotated Papers'!H:H, 'Annotated Papers'!A:A,A319)&gt;0,1,0))</f>
        <v>1</v>
      </c>
      <c r="G319" t="e">
        <f ca="1">IF(ISBLANK(A319), "", IF(SUMIFS('Annotated Papers'!I:I, 'Annotated Papers'!A:A,A319)&gt;0,1,0))</f>
        <v>#NAME?</v>
      </c>
      <c r="H319">
        <f ca="1">IF(ISBLANK(A319), "", IF(SUMIFS('Annotated Papers'!L:L, 'Annotated Papers'!A:A,A319)&gt;0,1,0))</f>
        <v>0</v>
      </c>
      <c r="I319" s="24">
        <f ca="1">IF(ISBLANK(A319), "", VLOOKUP(A319,'Annotated Papers'!318:1357,4,FALSE))</f>
        <v>0</v>
      </c>
    </row>
    <row r="320" spans="1:9" ht="14">
      <c r="A320" s="25" t="str">
        <f ca="1">IFERROR(__xludf.DUMMYFUNCTION("""COMPUTED_VALUE"""),"Structured Variational Learning of Bayesian Neural Networks with Horseshoe Priors")</f>
        <v>Structured Variational Learning of Bayesian Neural Networks with Horseshoe Priors</v>
      </c>
      <c r="B320" t="str">
        <f ca="1">IF(ISBLANK(A320), "", VLOOKUP(A320,'Annotated Papers'!319:1358,2,FALSE))</f>
        <v>General</v>
      </c>
      <c r="C320" s="24">
        <f ca="1">IF(ISBLANK(A320), "", VLOOKUP(A320,'Annotated Papers'!319:1358,5,FALSE))</f>
        <v>0</v>
      </c>
      <c r="D320">
        <f ca="1">IF(ISBLANK(A320), "", IF(COUNTIF('Annotated Papers'!A:A,A320)&gt;1,1,0))</f>
        <v>0</v>
      </c>
      <c r="E320">
        <f ca="1">IF(ISBLANK(A320), "", IF(SUMIFS('Annotated Papers'!G:G, 'Annotated Papers'!A:A,A320)&gt;0,1,0))</f>
        <v>0</v>
      </c>
      <c r="F320">
        <f ca="1">IF(ISBLANK(A320), "", IF(SUMIFS('Annotated Papers'!H:H, 'Annotated Papers'!A:A,A320)&gt;0,1,0))</f>
        <v>1</v>
      </c>
      <c r="G320" t="e">
        <f ca="1">IF(ISBLANK(A320), "", IF(SUMIFS('Annotated Papers'!I:I, 'Annotated Papers'!A:A,A320)&gt;0,1,0))</f>
        <v>#NAME?</v>
      </c>
      <c r="H320">
        <f ca="1">IF(ISBLANK(A320), "", IF(SUMIFS('Annotated Papers'!L:L, 'Annotated Papers'!A:A,A320)&gt;0,1,0))</f>
        <v>0</v>
      </c>
      <c r="I320" s="24">
        <f ca="1">IF(ISBLANK(A320), "", VLOOKUP(A320,'Annotated Papers'!319:1358,4,FALSE))</f>
        <v>0</v>
      </c>
    </row>
    <row r="321" spans="1:9" ht="14">
      <c r="A321" s="25" t="str">
        <f ca="1">IFERROR(__xludf.DUMMYFUNCTION("""COMPUTED_VALUE"""),"Predicting Aesthetic Score Distribution Through Cumulative Jensen-Shannon Divergence")</f>
        <v>Predicting Aesthetic Score Distribution Through Cumulative Jensen-Shannon Divergence</v>
      </c>
      <c r="B321" t="str">
        <f ca="1">IF(ISBLANK(A321), "", VLOOKUP(A321,'Annotated Papers'!320:1359,2,FALSE))</f>
        <v>General</v>
      </c>
      <c r="C321" s="24">
        <f ca="1">IF(ISBLANK(A321), "", VLOOKUP(A321,'Annotated Papers'!320:1359,5,FALSE))</f>
        <v>0</v>
      </c>
      <c r="D321">
        <f ca="1">IF(ISBLANK(A321), "", IF(COUNTIF('Annotated Papers'!A:A,A321)&gt;1,1,0))</f>
        <v>0</v>
      </c>
      <c r="E321">
        <f ca="1">IF(ISBLANK(A321), "", IF(SUMIFS('Annotated Papers'!G:G, 'Annotated Papers'!A:A,A321)&gt;0,1,0))</f>
        <v>0</v>
      </c>
      <c r="F321">
        <f ca="1">IF(ISBLANK(A321), "", IF(SUMIFS('Annotated Papers'!H:H, 'Annotated Papers'!A:A,A321)&gt;0,1,0))</f>
        <v>1</v>
      </c>
      <c r="G321" t="e">
        <f ca="1">IF(ISBLANK(A321), "", IF(SUMIFS('Annotated Papers'!I:I, 'Annotated Papers'!A:A,A321)&gt;0,1,0))</f>
        <v>#NAME?</v>
      </c>
      <c r="H321">
        <f ca="1">IF(ISBLANK(A321), "", IF(SUMIFS('Annotated Papers'!L:L, 'Annotated Papers'!A:A,A321)&gt;0,1,0))</f>
        <v>0</v>
      </c>
      <c r="I321" s="24">
        <f ca="1">IF(ISBLANK(A321), "", VLOOKUP(A321,'Annotated Papers'!320:1359,4,FALSE))</f>
        <v>0</v>
      </c>
    </row>
    <row r="322" spans="1:9" ht="14">
      <c r="A322" s="25" t="str">
        <f ca="1">IFERROR(__xludf.DUMMYFUNCTION("""COMPUTED_VALUE"""),"Norm Conflict Resolution in Stochastic Domains")</f>
        <v>Norm Conflict Resolution in Stochastic Domains</v>
      </c>
      <c r="B322" t="str">
        <f ca="1">IF(ISBLANK(A322), "", VLOOKUP(A322,'Annotated Papers'!321:1360,2,FALSE))</f>
        <v>General</v>
      </c>
      <c r="C322" s="24">
        <f ca="1">IF(ISBLANK(A322), "", VLOOKUP(A322,'Annotated Papers'!321:1360,5,FALSE))</f>
        <v>0</v>
      </c>
      <c r="D322">
        <f ca="1">IF(ISBLANK(A322), "", IF(COUNTIF('Annotated Papers'!A:A,A322)&gt;1,1,0))</f>
        <v>0</v>
      </c>
      <c r="E322">
        <f ca="1">IF(ISBLANK(A322), "", IF(SUMIFS('Annotated Papers'!G:G, 'Annotated Papers'!A:A,A322)&gt;0,1,0))</f>
        <v>0</v>
      </c>
      <c r="F322">
        <f ca="1">IF(ISBLANK(A322), "", IF(SUMIFS('Annotated Papers'!H:H, 'Annotated Papers'!A:A,A322)&gt;0,1,0))</f>
        <v>0</v>
      </c>
      <c r="G322">
        <f ca="1">IF(ISBLANK(A322), "", IF(SUMIFS('Annotated Papers'!I:I, 'Annotated Papers'!A:A,A322)&gt;0,1,0))</f>
        <v>0</v>
      </c>
      <c r="H322">
        <f ca="1">IF(ISBLANK(A322), "", IF(SUMIFS('Annotated Papers'!L:L, 'Annotated Papers'!A:A,A322)&gt;0,1,0))</f>
        <v>0</v>
      </c>
      <c r="I322" s="24">
        <f ca="1">IF(ISBLANK(A322), "", VLOOKUP(A322,'Annotated Papers'!321:1360,4,FALSE))</f>
        <v>1</v>
      </c>
    </row>
    <row r="323" spans="1:9" ht="14">
      <c r="A323" s="25" t="str">
        <f ca="1">IFERROR(__xludf.DUMMYFUNCTION("""COMPUTED_VALUE"""),"Deep Representation-Decoupling Neural Networks for Monaural Music Mixture Separation")</f>
        <v>Deep Representation-Decoupling Neural Networks for Monaural Music Mixture Separation</v>
      </c>
      <c r="B323" t="str">
        <f ca="1">IF(ISBLANK(A323), "", VLOOKUP(A323,'Annotated Papers'!322:1361,2,FALSE))</f>
        <v>General</v>
      </c>
      <c r="C323" s="24">
        <f ca="1">IF(ISBLANK(A323), "", VLOOKUP(A323,'Annotated Papers'!322:1361,5,FALSE))</f>
        <v>0</v>
      </c>
      <c r="D323">
        <f ca="1">IF(ISBLANK(A323), "", IF(COUNTIF('Annotated Papers'!A:A,A323)&gt;1,1,0))</f>
        <v>0</v>
      </c>
      <c r="E323">
        <f ca="1">IF(ISBLANK(A323), "", IF(SUMIFS('Annotated Papers'!G:G, 'Annotated Papers'!A:A,A323)&gt;0,1,0))</f>
        <v>0</v>
      </c>
      <c r="F323">
        <f ca="1">IF(ISBLANK(A323), "", IF(SUMIFS('Annotated Papers'!H:H, 'Annotated Papers'!A:A,A323)&gt;0,1,0))</f>
        <v>1</v>
      </c>
      <c r="G323" t="e">
        <f ca="1">IF(ISBLANK(A323), "", IF(SUMIFS('Annotated Papers'!I:I, 'Annotated Papers'!A:A,A323)&gt;0,1,0))</f>
        <v>#NAME?</v>
      </c>
      <c r="H323">
        <f ca="1">IF(ISBLANK(A323), "", IF(SUMIFS('Annotated Papers'!L:L, 'Annotated Papers'!A:A,A323)&gt;0,1,0))</f>
        <v>0</v>
      </c>
      <c r="I323" s="24">
        <f ca="1">IF(ISBLANK(A323), "", VLOOKUP(A323,'Annotated Papers'!322:1361,4,FALSE))</f>
        <v>0</v>
      </c>
    </row>
    <row r="324" spans="1:9" ht="14">
      <c r="A324" s="25" t="str">
        <f ca="1">IFERROR(__xludf.DUMMYFUNCTION("""COMPUTED_VALUE"""),"Early Prediction of Diabetes Complications from Electronic Health Records: A Multi-Task Survival Analysis Approach")</f>
        <v>Early Prediction of Diabetes Complications from Electronic Health Records: A Multi-Task Survival Analysis Approach</v>
      </c>
      <c r="B324" t="str">
        <f ca="1">IF(ISBLANK(A324), "", VLOOKUP(A324,'Annotated Papers'!323:1362,2,FALSE))</f>
        <v>General, ML4H</v>
      </c>
      <c r="C324" s="24">
        <f ca="1">IF(ISBLANK(A324), "", VLOOKUP(A324,'Annotated Papers'!323:1362,5,FALSE))</f>
        <v>0</v>
      </c>
      <c r="D324">
        <f ca="1">IF(ISBLANK(A324), "", IF(COUNTIF('Annotated Papers'!A:A,A324)&gt;1,1,0))</f>
        <v>0</v>
      </c>
      <c r="E324">
        <f ca="1">IF(ISBLANK(A324), "", IF(SUMIFS('Annotated Papers'!G:G, 'Annotated Papers'!A:A,A324)&gt;0,1,0))</f>
        <v>1</v>
      </c>
      <c r="F324">
        <f ca="1">IF(ISBLANK(A324), "", IF(SUMIFS('Annotated Papers'!H:H, 'Annotated Papers'!A:A,A324)&gt;0,1,0))</f>
        <v>0</v>
      </c>
      <c r="G324" t="e">
        <f ca="1">IF(ISBLANK(A324), "", IF(SUMIFS('Annotated Papers'!I:I, 'Annotated Papers'!A:A,A324)&gt;0,1,0))</f>
        <v>#NAME?</v>
      </c>
      <c r="H324">
        <f ca="1">IF(ISBLANK(A324), "", IF(SUMIFS('Annotated Papers'!L:L, 'Annotated Papers'!A:A,A324)&gt;0,1,0))</f>
        <v>0</v>
      </c>
      <c r="I324" s="24">
        <f ca="1">IF(ISBLANK(A324), "", VLOOKUP(A324,'Annotated Papers'!323:1362,4,FALSE))</f>
        <v>0</v>
      </c>
    </row>
    <row r="325" spans="1:9" ht="14">
      <c r="A325" s="25" t="str">
        <f ca="1">IFERROR(__xludf.DUMMYFUNCTION("""COMPUTED_VALUE"""),"Rumor Detection on Twitter with Tree-structured Recursive Neural Networks")</f>
        <v>Rumor Detection on Twitter with Tree-structured Recursive Neural Networks</v>
      </c>
      <c r="B325" t="str">
        <f ca="1">IF(ISBLANK(A325), "", VLOOKUP(A325,'Annotated Papers'!324:1363,2,FALSE))</f>
        <v>NLP</v>
      </c>
      <c r="C325" s="24">
        <f ca="1">IF(ISBLANK(A325), "", VLOOKUP(A325,'Annotated Papers'!324:1363,5,FALSE))</f>
        <v>1</v>
      </c>
      <c r="D325">
        <f ca="1">IF(ISBLANK(A325), "", IF(COUNTIF('Annotated Papers'!A:A,A325)&gt;1,1,0))</f>
        <v>1</v>
      </c>
      <c r="E325">
        <f ca="1">IF(ISBLANK(A325), "", IF(SUMIFS('Annotated Papers'!G:G, 'Annotated Papers'!A:A,A325)&gt;0,1,0))</f>
        <v>0</v>
      </c>
      <c r="F325">
        <f ca="1">IF(ISBLANK(A325), "", IF(SUMIFS('Annotated Papers'!H:H, 'Annotated Papers'!A:A,A325)&gt;0,1,0))</f>
        <v>1</v>
      </c>
      <c r="G325" t="e">
        <f ca="1">IF(ISBLANK(A325), "", IF(SUMIFS('Annotated Papers'!I:I, 'Annotated Papers'!A:A,A325)&gt;0,1,0))</f>
        <v>#NAME?</v>
      </c>
      <c r="H325">
        <f ca="1">IF(ISBLANK(A325), "", IF(SUMIFS('Annotated Papers'!L:L, 'Annotated Papers'!A:A,A325)&gt;0,1,0))</f>
        <v>0</v>
      </c>
      <c r="I325" s="24">
        <f ca="1">IF(ISBLANK(A325), "", VLOOKUP(A325,'Annotated Papers'!324:1363,4,FALSE))</f>
        <v>0</v>
      </c>
    </row>
    <row r="326" spans="1:9" ht="14">
      <c r="A326" s="25" t="str">
        <f ca="1">IFERROR(__xludf.DUMMYFUNCTION("""COMPUTED_VALUE"""),"
Learning the Joint Representation of Heterogeneous Temporal Events for Clinical Endpoint Prediction")</f>
        <v xml:space="preserve">
Learning the Joint Representation of Heterogeneous Temporal Events for Clinical Endpoint Prediction</v>
      </c>
      <c r="B326" t="str">
        <f ca="1">IF(ISBLANK(A326), "", VLOOKUP(A326,'Annotated Papers'!325:1364,2,FALSE))</f>
        <v>General, ML4H</v>
      </c>
      <c r="C326" s="24">
        <f ca="1">IF(ISBLANK(A326), "", VLOOKUP(A326,'Annotated Papers'!325:1364,5,FALSE))</f>
        <v>0</v>
      </c>
      <c r="D326">
        <f ca="1">IF(ISBLANK(A326), "", IF(COUNTIF('Annotated Papers'!A:A,A326)&gt;1,1,0))</f>
        <v>0</v>
      </c>
      <c r="E326">
        <f ca="1">IF(ISBLANK(A326), "", IF(SUMIFS('Annotated Papers'!G:G, 'Annotated Papers'!A:A,A326)&gt;0,1,0))</f>
        <v>1</v>
      </c>
      <c r="F326">
        <f ca="1">IF(ISBLANK(A326), "", IF(SUMIFS('Annotated Papers'!H:H, 'Annotated Papers'!A:A,A326)&gt;0,1,0))</f>
        <v>1</v>
      </c>
      <c r="G326" t="e">
        <f ca="1">IF(ISBLANK(A326), "", IF(SUMIFS('Annotated Papers'!I:I, 'Annotated Papers'!A:A,A326)&gt;0,1,0))</f>
        <v>#NAME?</v>
      </c>
      <c r="H326">
        <f ca="1">IF(ISBLANK(A326), "", IF(SUMIFS('Annotated Papers'!L:L, 'Annotated Papers'!A:A,A326)&gt;0,1,0))</f>
        <v>1</v>
      </c>
      <c r="I326" s="24">
        <f ca="1">IF(ISBLANK(A326), "", VLOOKUP(A326,'Annotated Papers'!325:1364,4,FALSE))</f>
        <v>0</v>
      </c>
    </row>
    <row r="327" spans="1:9" ht="14">
      <c r="A327" s="25" t="str">
        <f ca="1">IFERROR(__xludf.DUMMYFUNCTION("""COMPUTED_VALUE"""),"Triangular Architecture for Rare Language Translation")</f>
        <v>Triangular Architecture for Rare Language Translation</v>
      </c>
      <c r="B327" t="str">
        <f ca="1">IF(ISBLANK(A327), "", VLOOKUP(A327,'Annotated Papers'!326:1365,2,FALSE))</f>
        <v>NLP</v>
      </c>
      <c r="C327" s="24">
        <f ca="1">IF(ISBLANK(A327), "", VLOOKUP(A327,'Annotated Papers'!326:1365,5,FALSE))</f>
        <v>0</v>
      </c>
      <c r="D327">
        <f ca="1">IF(ISBLANK(A327), "", IF(COUNTIF('Annotated Papers'!A:A,A327)&gt;1,1,0))</f>
        <v>1</v>
      </c>
      <c r="E327">
        <f ca="1">IF(ISBLANK(A327), "", IF(SUMIFS('Annotated Papers'!G:G, 'Annotated Papers'!A:A,A327)&gt;0,1,0))</f>
        <v>0</v>
      </c>
      <c r="F327">
        <f ca="1">IF(ISBLANK(A327), "", IF(SUMIFS('Annotated Papers'!H:H, 'Annotated Papers'!A:A,A327)&gt;0,1,0))</f>
        <v>1</v>
      </c>
      <c r="G327" t="e">
        <f ca="1">IF(ISBLANK(A327), "", IF(SUMIFS('Annotated Papers'!I:I, 'Annotated Papers'!A:A,A327)&gt;0,1,0))</f>
        <v>#NAME?</v>
      </c>
      <c r="H327">
        <f ca="1">IF(ISBLANK(A327), "", IF(SUMIFS('Annotated Papers'!L:L, 'Annotated Papers'!A:A,A327)&gt;0,1,0))</f>
        <v>0</v>
      </c>
      <c r="I327" s="24">
        <f ca="1">IF(ISBLANK(A327), "", VLOOKUP(A327,'Annotated Papers'!326:1365,4,FALSE))</f>
        <v>0</v>
      </c>
    </row>
    <row r="328" spans="1:9" ht="14">
      <c r="A328" s="25" t="str">
        <f ca="1">IFERROR(__xludf.DUMMYFUNCTION("""COMPUTED_VALUE"""),"A Neural Architecture for Automated ICD Coding")</f>
        <v>A Neural Architecture for Automated ICD Coding</v>
      </c>
      <c r="B328" t="str">
        <f ca="1">IF(ISBLANK(A328), "", VLOOKUP(A328,'Annotated Papers'!327:1366,2,FALSE))</f>
        <v>NLP, ML4H</v>
      </c>
      <c r="C328" s="24">
        <f ca="1">IF(ISBLANK(A328), "", VLOOKUP(A328,'Annotated Papers'!327:1366,5,FALSE))</f>
        <v>0</v>
      </c>
      <c r="D328">
        <f ca="1">IF(ISBLANK(A328), "", IF(COUNTIF('Annotated Papers'!A:A,A328)&gt;1,1,0))</f>
        <v>0</v>
      </c>
      <c r="E328">
        <f ca="1">IF(ISBLANK(A328), "", IF(SUMIFS('Annotated Papers'!G:G, 'Annotated Papers'!A:A,A328)&gt;0,1,0))</f>
        <v>1</v>
      </c>
      <c r="F328">
        <f ca="1">IF(ISBLANK(A328), "", IF(SUMIFS('Annotated Papers'!H:H, 'Annotated Papers'!A:A,A328)&gt;0,1,0))</f>
        <v>1</v>
      </c>
      <c r="G328" t="e">
        <f ca="1">IF(ISBLANK(A328), "", IF(SUMIFS('Annotated Papers'!I:I, 'Annotated Papers'!A:A,A328)&gt;0,1,0))</f>
        <v>#NAME?</v>
      </c>
      <c r="H328">
        <f ca="1">IF(ISBLANK(A328), "", IF(SUMIFS('Annotated Papers'!L:L, 'Annotated Papers'!A:A,A328)&gt;0,1,0))</f>
        <v>0</v>
      </c>
      <c r="I328" s="24">
        <f ca="1">IF(ISBLANK(A328), "", VLOOKUP(A328,'Annotated Papers'!327:1366,4,FALSE))</f>
        <v>0</v>
      </c>
    </row>
    <row r="329" spans="1:9" ht="14">
      <c r="A329" s="25" t="str">
        <f ca="1">IFERROR(__xludf.DUMMYFUNCTION("""COMPUTED_VALUE"""),"Ultra-Fine Entity Typing
")</f>
        <v xml:space="preserve">Ultra-Fine Entity Typing
</v>
      </c>
      <c r="B329" t="str">
        <f ca="1">IF(ISBLANK(A329), "", VLOOKUP(A329,'Annotated Papers'!328:1367,2,FALSE))</f>
        <v>NLP</v>
      </c>
      <c r="C329" s="24">
        <f ca="1">IF(ISBLANK(A329), "", VLOOKUP(A329,'Annotated Papers'!328:1367,5,FALSE))</f>
        <v>1</v>
      </c>
      <c r="D329">
        <f ca="1">IF(ISBLANK(A329), "", IF(COUNTIF('Annotated Papers'!A:A,A329)&gt;1,1,0))</f>
        <v>0</v>
      </c>
      <c r="E329">
        <f ca="1">IF(ISBLANK(A329), "", IF(SUMIFS('Annotated Papers'!G:G, 'Annotated Papers'!A:A,A329)&gt;0,1,0))</f>
        <v>0</v>
      </c>
      <c r="F329">
        <f ca="1">IF(ISBLANK(A329), "", IF(SUMIFS('Annotated Papers'!H:H, 'Annotated Papers'!A:A,A329)&gt;0,1,0))</f>
        <v>1</v>
      </c>
      <c r="G329" t="e">
        <f ca="1">IF(ISBLANK(A329), "", IF(SUMIFS('Annotated Papers'!I:I, 'Annotated Papers'!A:A,A329)&gt;0,1,0))</f>
        <v>#NAME?</v>
      </c>
      <c r="H329">
        <f ca="1">IF(ISBLANK(A329), "", IF(SUMIFS('Annotated Papers'!L:L, 'Annotated Papers'!A:A,A329)&gt;0,1,0))</f>
        <v>0</v>
      </c>
      <c r="I329" s="24">
        <f ca="1">IF(ISBLANK(A329), "", VLOOKUP(A329,'Annotated Papers'!328:1367,4,FALSE))</f>
        <v>0</v>
      </c>
    </row>
    <row r="330" spans="1:9" ht="14">
      <c r="A330" s="25" t="str">
        <f ca="1">IFERROR(__xludf.DUMMYFUNCTION("""COMPUTED_VALUE"""),"Coherence-Aware Neural Topic Modeling")</f>
        <v>Coherence-Aware Neural Topic Modeling</v>
      </c>
      <c r="B330" t="str">
        <f ca="1">IF(ISBLANK(A330), "", VLOOKUP(A330,'Annotated Papers'!329:1368,2,FALSE))</f>
        <v>NLP</v>
      </c>
      <c r="C330" s="24">
        <f ca="1">IF(ISBLANK(A330), "", VLOOKUP(A330,'Annotated Papers'!329:1368,5,FALSE))</f>
        <v>0</v>
      </c>
      <c r="D330">
        <f ca="1">IF(ISBLANK(A330), "", IF(COUNTIF('Annotated Papers'!A:A,A330)&gt;1,1,0))</f>
        <v>1</v>
      </c>
      <c r="E330">
        <f ca="1">IF(ISBLANK(A330), "", IF(SUMIFS('Annotated Papers'!G:G, 'Annotated Papers'!A:A,A330)&gt;0,1,0))</f>
        <v>0</v>
      </c>
      <c r="F330">
        <f ca="1">IF(ISBLANK(A330), "", IF(SUMIFS('Annotated Papers'!H:H, 'Annotated Papers'!A:A,A330)&gt;0,1,0))</f>
        <v>1</v>
      </c>
      <c r="G330" t="e">
        <f ca="1">IF(ISBLANK(A330), "", IF(SUMIFS('Annotated Papers'!I:I, 'Annotated Papers'!A:A,A330)&gt;0,1,0))</f>
        <v>#NAME?</v>
      </c>
      <c r="H330">
        <f ca="1">IF(ISBLANK(A330), "", IF(SUMIFS('Annotated Papers'!L:L, 'Annotated Papers'!A:A,A330)&gt;0,1,0))</f>
        <v>0</v>
      </c>
      <c r="I330" s="24">
        <f ca="1">IF(ISBLANK(A330), "", VLOOKUP(A330,'Annotated Papers'!329:1368,4,FALSE))</f>
        <v>0</v>
      </c>
    </row>
    <row r="331" spans="1:9" ht="14">
      <c r="A331" s="25" t="str">
        <f ca="1">IFERROR(__xludf.DUMMYFUNCTION("""COMPUTED_VALUE"""),"Fluency Boost Learning and Inference for
Neural Grammatical Error Correction")</f>
        <v>Fluency Boost Learning and Inference for
Neural Grammatical Error Correction</v>
      </c>
      <c r="B331" t="str">
        <f ca="1">IF(ISBLANK(A331), "", VLOOKUP(A331,'Annotated Papers'!330:1369,2,FALSE))</f>
        <v>NLP</v>
      </c>
      <c r="C331" s="24">
        <f ca="1">IF(ISBLANK(A331), "", VLOOKUP(A331,'Annotated Papers'!330:1369,5,FALSE))</f>
        <v>0</v>
      </c>
      <c r="D331">
        <f ca="1">IF(ISBLANK(A331), "", IF(COUNTIF('Annotated Papers'!A:A,A331)&gt;1,1,0))</f>
        <v>1</v>
      </c>
      <c r="E331">
        <f ca="1">IF(ISBLANK(A331), "", IF(SUMIFS('Annotated Papers'!G:G, 'Annotated Papers'!A:A,A331)&gt;0,1,0))</f>
        <v>0</v>
      </c>
      <c r="F331">
        <f ca="1">IF(ISBLANK(A331), "", IF(SUMIFS('Annotated Papers'!H:H, 'Annotated Papers'!A:A,A331)&gt;0,1,0))</f>
        <v>1</v>
      </c>
      <c r="G331" t="e">
        <f ca="1">IF(ISBLANK(A331), "", IF(SUMIFS('Annotated Papers'!I:I, 'Annotated Papers'!A:A,A331)&gt;0,1,0))</f>
        <v>#NAME?</v>
      </c>
      <c r="H331">
        <f ca="1">IF(ISBLANK(A331), "", IF(SUMIFS('Annotated Papers'!L:L, 'Annotated Papers'!A:A,A331)&gt;0,1,0))</f>
        <v>1</v>
      </c>
      <c r="I331" s="24">
        <f ca="1">IF(ISBLANK(A331), "", VLOOKUP(A331,'Annotated Papers'!330:1369,4,FALSE))</f>
        <v>0</v>
      </c>
    </row>
    <row r="332" spans="1:9" ht="14">
      <c r="A332" s="25" t="str">
        <f ca="1">IFERROR(__xludf.DUMMYFUNCTION("""COMPUTED_VALUE"""),"Neural Argument Generation Augmented with Externally Retrieved Evidence")</f>
        <v>Neural Argument Generation Augmented with Externally Retrieved Evidence</v>
      </c>
      <c r="B332" t="str">
        <f ca="1">IF(ISBLANK(A332), "", VLOOKUP(A332,'Annotated Papers'!331:1370,2,FALSE))</f>
        <v>NLP</v>
      </c>
      <c r="C332" s="24">
        <f ca="1">IF(ISBLANK(A332), "", VLOOKUP(A332,'Annotated Papers'!331:1370,5,FALSE))</f>
        <v>1</v>
      </c>
      <c r="D332">
        <f ca="1">IF(ISBLANK(A332), "", IF(COUNTIF('Annotated Papers'!A:A,A332)&gt;1,1,0))</f>
        <v>0</v>
      </c>
      <c r="E332">
        <f ca="1">IF(ISBLANK(A332), "", IF(SUMIFS('Annotated Papers'!G:G, 'Annotated Papers'!A:A,A332)&gt;0,1,0))</f>
        <v>0</v>
      </c>
      <c r="F332">
        <f ca="1">IF(ISBLANK(A332), "", IF(SUMIFS('Annotated Papers'!H:H, 'Annotated Papers'!A:A,A332)&gt;0,1,0))</f>
        <v>1</v>
      </c>
      <c r="G332" t="e">
        <f ca="1">IF(ISBLANK(A332), "", IF(SUMIFS('Annotated Papers'!I:I, 'Annotated Papers'!A:A,A332)&gt;0,1,0))</f>
        <v>#NAME?</v>
      </c>
      <c r="H332">
        <f ca="1">IF(ISBLANK(A332), "", IF(SUMIFS('Annotated Papers'!L:L, 'Annotated Papers'!A:A,A332)&gt;0,1,0))</f>
        <v>1</v>
      </c>
      <c r="I332" s="24">
        <f ca="1">IF(ISBLANK(A332), "", VLOOKUP(A332,'Annotated Papers'!331:1370,4,FALSE))</f>
        <v>0</v>
      </c>
    </row>
    <row r="333" spans="1:9" ht="14">
      <c r="A333" s="25" t="str">
        <f ca="1">IFERROR(__xludf.DUMMYFUNCTION("""COMPUTED_VALUE"""),"An Empirical Study of Building a Strong Baseline for Constituency Parsing")</f>
        <v>An Empirical Study of Building a Strong Baseline for Constituency Parsing</v>
      </c>
      <c r="B333" t="str">
        <f ca="1">IF(ISBLANK(A333), "", VLOOKUP(A333,'Annotated Papers'!332:1371,2,FALSE))</f>
        <v>NLP</v>
      </c>
      <c r="C333" s="24">
        <f ca="1">IF(ISBLANK(A333), "", VLOOKUP(A333,'Annotated Papers'!332:1371,5,FALSE))</f>
        <v>1</v>
      </c>
      <c r="D333">
        <f ca="1">IF(ISBLANK(A333), "", IF(COUNTIF('Annotated Papers'!A:A,A333)&gt;1,1,0))</f>
        <v>0</v>
      </c>
      <c r="E333">
        <f ca="1">IF(ISBLANK(A333), "", IF(SUMIFS('Annotated Papers'!G:G, 'Annotated Papers'!A:A,A333)&gt;0,1,0))</f>
        <v>0</v>
      </c>
      <c r="F333">
        <f ca="1">IF(ISBLANK(A333), "", IF(SUMIFS('Annotated Papers'!H:H, 'Annotated Papers'!A:A,A333)&gt;0,1,0))</f>
        <v>1</v>
      </c>
      <c r="G333" t="e">
        <f ca="1">IF(ISBLANK(A333), "", IF(SUMIFS('Annotated Papers'!I:I, 'Annotated Papers'!A:A,A333)&gt;0,1,0))</f>
        <v>#NAME?</v>
      </c>
      <c r="H333">
        <f ca="1">IF(ISBLANK(A333), "", IF(SUMIFS('Annotated Papers'!L:L, 'Annotated Papers'!A:A,A333)&gt;0,1,0))</f>
        <v>1</v>
      </c>
      <c r="I333" s="24">
        <f ca="1">IF(ISBLANK(A333), "", VLOOKUP(A333,'Annotated Papers'!332:1371,4,FALSE))</f>
        <v>0</v>
      </c>
    </row>
    <row r="334" spans="1:9" ht="14">
      <c r="A334" s="25" t="str">
        <f ca="1">IFERROR(__xludf.DUMMYFUNCTION("""COMPUTED_VALUE"""),"Coherence Modeling of Asynchronous Conversations: A Neural Entity Grid Approach")</f>
        <v>Coherence Modeling of Asynchronous Conversations: A Neural Entity Grid Approach</v>
      </c>
      <c r="B334" t="str">
        <f ca="1">IF(ISBLANK(A334), "", VLOOKUP(A334,'Annotated Papers'!333:1372,2,FALSE))</f>
        <v>NLP</v>
      </c>
      <c r="C334" s="24">
        <f ca="1">IF(ISBLANK(A334), "", VLOOKUP(A334,'Annotated Papers'!333:1372,5,FALSE))</f>
        <v>1</v>
      </c>
      <c r="D334">
        <f ca="1">IF(ISBLANK(A334), "", IF(COUNTIF('Annotated Papers'!A:A,A334)&gt;1,1,0))</f>
        <v>1</v>
      </c>
      <c r="E334">
        <f ca="1">IF(ISBLANK(A334), "", IF(SUMIFS('Annotated Papers'!G:G, 'Annotated Papers'!A:A,A334)&gt;0,1,0))</f>
        <v>0</v>
      </c>
      <c r="F334">
        <f ca="1">IF(ISBLANK(A334), "", IF(SUMIFS('Annotated Papers'!H:H, 'Annotated Papers'!A:A,A334)&gt;0,1,0))</f>
        <v>1</v>
      </c>
      <c r="G334" t="e">
        <f ca="1">IF(ISBLANK(A334), "", IF(SUMIFS('Annotated Papers'!I:I, 'Annotated Papers'!A:A,A334)&gt;0,1,0))</f>
        <v>#NAME?</v>
      </c>
      <c r="H334">
        <f ca="1">IF(ISBLANK(A334), "", IF(SUMIFS('Annotated Papers'!L:L, 'Annotated Papers'!A:A,A334)&gt;0,1,0))</f>
        <v>1</v>
      </c>
      <c r="I334" s="24">
        <f ca="1">IF(ISBLANK(A334), "", VLOOKUP(A334,'Annotated Papers'!333:1372,4,FALSE))</f>
        <v>0</v>
      </c>
    </row>
    <row r="335" spans="1:9" ht="14">
      <c r="A335" s="25" t="str">
        <f ca="1">IFERROR(__xludf.DUMMYFUNCTION("""COMPUTED_VALUE"""),"Soft Layer-Specific Multi-Task Summarization with Entailment and Question Generation")</f>
        <v>Soft Layer-Specific Multi-Task Summarization with Entailment and Question Generation</v>
      </c>
      <c r="B335" t="str">
        <f ca="1">IF(ISBLANK(A335), "", VLOOKUP(A335,'Annotated Papers'!334:1373,2,FALSE))</f>
        <v>NLP</v>
      </c>
      <c r="C335" s="24">
        <f ca="1">IF(ISBLANK(A335), "", VLOOKUP(A335,'Annotated Papers'!334:1373,5,FALSE))</f>
        <v>0</v>
      </c>
      <c r="D335">
        <f ca="1">IF(ISBLANK(A335), "", IF(COUNTIF('Annotated Papers'!A:A,A335)&gt;1,1,0))</f>
        <v>1</v>
      </c>
      <c r="E335">
        <f ca="1">IF(ISBLANK(A335), "", IF(SUMIFS('Annotated Papers'!G:G, 'Annotated Papers'!A:A,A335)&gt;0,1,0))</f>
        <v>0</v>
      </c>
      <c r="F335">
        <f ca="1">IF(ISBLANK(A335), "", IF(SUMIFS('Annotated Papers'!H:H, 'Annotated Papers'!A:A,A335)&gt;0,1,0))</f>
        <v>1</v>
      </c>
      <c r="G335" t="e">
        <f ca="1">IF(ISBLANK(A335), "", IF(SUMIFS('Annotated Papers'!I:I, 'Annotated Papers'!A:A,A335)&gt;0,1,0))</f>
        <v>#NAME?</v>
      </c>
      <c r="H335">
        <f ca="1">IF(ISBLANK(A335), "", IF(SUMIFS('Annotated Papers'!L:L, 'Annotated Papers'!A:A,A335)&gt;0,1,0))</f>
        <v>1</v>
      </c>
      <c r="I335" s="24">
        <f ca="1">IF(ISBLANK(A335), "", VLOOKUP(A335,'Annotated Papers'!334:1373,4,FALSE))</f>
        <v>0</v>
      </c>
    </row>
    <row r="336" spans="1:9" ht="14">
      <c r="A336" s="25" t="str">
        <f ca="1">IFERROR(__xludf.DUMMYFUNCTION("""COMPUTED_VALUE"""),"Give Me More Feedback: Annotating Argument Persuasiveness and Related Attributes in Student Essays")</f>
        <v>Give Me More Feedback: Annotating Argument Persuasiveness and Related Attributes in Student Essays</v>
      </c>
      <c r="B336" t="str">
        <f ca="1">IF(ISBLANK(A336), "", VLOOKUP(A336,'Annotated Papers'!335:1374,2,FALSE))</f>
        <v>NLP</v>
      </c>
      <c r="C336" s="24">
        <f ca="1">IF(ISBLANK(A336), "", VLOOKUP(A336,'Annotated Papers'!335:1374,5,FALSE))</f>
        <v>0</v>
      </c>
      <c r="D336">
        <f ca="1">IF(ISBLANK(A336), "", IF(COUNTIF('Annotated Papers'!A:A,A336)&gt;1,1,0))</f>
        <v>0</v>
      </c>
      <c r="E336">
        <f ca="1">IF(ISBLANK(A336), "", IF(SUMIFS('Annotated Papers'!G:G, 'Annotated Papers'!A:A,A336)&gt;0,1,0))</f>
        <v>0</v>
      </c>
      <c r="F336">
        <f ca="1">IF(ISBLANK(A336), "", IF(SUMIFS('Annotated Papers'!H:H, 'Annotated Papers'!A:A,A336)&gt;0,1,0))</f>
        <v>1</v>
      </c>
      <c r="G336" t="e">
        <f ca="1">IF(ISBLANK(A336), "", IF(SUMIFS('Annotated Papers'!I:I, 'Annotated Papers'!A:A,A336)&gt;0,1,0))</f>
        <v>#NAME?</v>
      </c>
      <c r="H336">
        <f ca="1">IF(ISBLANK(A336), "", IF(SUMIFS('Annotated Papers'!L:L, 'Annotated Papers'!A:A,A336)&gt;0,1,0))</f>
        <v>0</v>
      </c>
      <c r="I336" s="24">
        <f ca="1">IF(ISBLANK(A336), "", VLOOKUP(A336,'Annotated Papers'!335:1374,4,FALSE))</f>
        <v>0</v>
      </c>
    </row>
    <row r="337" spans="1:9" ht="14">
      <c r="A337" s="26" t="str">
        <f ca="1">IFERROR(__xludf.DUMMYFUNCTION("""COMPUTED_VALUE"""),"Neural Automated Essay Scoring and Coherence Modeling for Adversarially Crafted Input")</f>
        <v>Neural Automated Essay Scoring and Coherence Modeling for Adversarially Crafted Input</v>
      </c>
      <c r="B337" t="str">
        <f ca="1">IF(ISBLANK(A337), "", VLOOKUP(A337,'Annotated Papers'!336:1375,2,FALSE))</f>
        <v>NLP</v>
      </c>
      <c r="C337" s="24">
        <f ca="1">IF(ISBLANK(A337), "", VLOOKUP(A337,'Annotated Papers'!336:1375,5,FALSE))</f>
        <v>1</v>
      </c>
      <c r="D337">
        <f ca="1">IF(ISBLANK(A337), "", IF(COUNTIF('Annotated Papers'!A:A,A337)&gt;1,1,0))</f>
        <v>1</v>
      </c>
      <c r="E337">
        <f ca="1">IF(ISBLANK(A337), "", IF(SUMIFS('Annotated Papers'!G:G, 'Annotated Papers'!A:A,A337)&gt;0,1,0))</f>
        <v>0</v>
      </c>
      <c r="F337">
        <f ca="1">IF(ISBLANK(A337), "", IF(SUMIFS('Annotated Papers'!H:H, 'Annotated Papers'!A:A,A337)&gt;0,1,0))</f>
        <v>1</v>
      </c>
      <c r="G337" t="e">
        <f ca="1">IF(ISBLANK(A337), "", IF(SUMIFS('Annotated Papers'!I:I, 'Annotated Papers'!A:A,A337)&gt;0,1,0))</f>
        <v>#NAME?</v>
      </c>
      <c r="H337">
        <f ca="1">IF(ISBLANK(A337), "", IF(SUMIFS('Annotated Papers'!L:L, 'Annotated Papers'!A:A,A337)&gt;0,1,0))</f>
        <v>1</v>
      </c>
      <c r="I337" s="24">
        <f ca="1">IF(ISBLANK(A337), "", VLOOKUP(A337,'Annotated Papers'!336:1375,4,FALSE))</f>
        <v>0</v>
      </c>
    </row>
    <row r="338" spans="1:9" ht="14">
      <c r="A338" s="26" t="str">
        <f ca="1">IFERROR(__xludf.DUMMYFUNCTION("""COMPUTED_VALUE"""),"Tempo-Lexical Context Driven Word Embedding for Cross-Session Search Task Extraction")</f>
        <v>Tempo-Lexical Context Driven Word Embedding for Cross-Session Search Task Extraction</v>
      </c>
      <c r="B338" t="str">
        <f ca="1">IF(ISBLANK(A338), "", VLOOKUP(A338,'Annotated Papers'!337:1376,2,FALSE))</f>
        <v>NLP</v>
      </c>
      <c r="C338" s="24">
        <f ca="1">IF(ISBLANK(A338), "", VLOOKUP(A338,'Annotated Papers'!337:1376,5,FALSE))</f>
        <v>0</v>
      </c>
      <c r="D338">
        <f ca="1">IF(ISBLANK(A338), "", IF(COUNTIF('Annotated Papers'!A:A,A338)&gt;1,1,0))</f>
        <v>1</v>
      </c>
      <c r="E338">
        <f ca="1">IF(ISBLANK(A338), "", IF(SUMIFS('Annotated Papers'!G:G, 'Annotated Papers'!A:A,A338)&gt;0,1,0))</f>
        <v>0</v>
      </c>
      <c r="F338">
        <f ca="1">IF(ISBLANK(A338), "", IF(SUMIFS('Annotated Papers'!H:H, 'Annotated Papers'!A:A,A338)&gt;0,1,0))</f>
        <v>1</v>
      </c>
      <c r="G338" t="e">
        <f ca="1">IF(ISBLANK(A338), "", IF(SUMIFS('Annotated Papers'!I:I, 'Annotated Papers'!A:A,A338)&gt;0,1,0))</f>
        <v>#NAME?</v>
      </c>
      <c r="H338">
        <f ca="1">IF(ISBLANK(A338), "", IF(SUMIFS('Annotated Papers'!L:L, 'Annotated Papers'!A:A,A338)&gt;0,1,0))</f>
        <v>1</v>
      </c>
      <c r="I338" s="24">
        <f ca="1">IF(ISBLANK(A338), "", VLOOKUP(A338,'Annotated Papers'!337:1376,4,FALSE))</f>
        <v>0</v>
      </c>
    </row>
    <row r="339" spans="1:9" ht="14">
      <c r="A339" s="26" t="str">
        <f ca="1">IFERROR(__xludf.DUMMYFUNCTION("""COMPUTED_VALUE"""),"QuickEdit: Editing Text &amp; Translations by Crossing Words Out")</f>
        <v>QuickEdit: Editing Text &amp; Translations by Crossing Words Out</v>
      </c>
      <c r="B339" t="str">
        <f ca="1">IF(ISBLANK(A339), "", VLOOKUP(A339,'Annotated Papers'!338:1377,2,FALSE))</f>
        <v>NLP</v>
      </c>
      <c r="C339" s="24">
        <f ca="1">IF(ISBLANK(A339), "", VLOOKUP(A339,'Annotated Papers'!338:1377,5,FALSE))</f>
        <v>0</v>
      </c>
      <c r="D339">
        <f ca="1">IF(ISBLANK(A339), "", IF(COUNTIF('Annotated Papers'!A:A,A339)&gt;1,1,0))</f>
        <v>1</v>
      </c>
      <c r="E339">
        <f ca="1">IF(ISBLANK(A339), "", IF(SUMIFS('Annotated Papers'!G:G, 'Annotated Papers'!A:A,A339)&gt;0,1,0))</f>
        <v>0</v>
      </c>
      <c r="F339">
        <f ca="1">IF(ISBLANK(A339), "", IF(SUMIFS('Annotated Papers'!H:H, 'Annotated Papers'!A:A,A339)&gt;0,1,0))</f>
        <v>1</v>
      </c>
      <c r="G339" t="e">
        <f ca="1">IF(ISBLANK(A339), "", IF(SUMIFS('Annotated Papers'!I:I, 'Annotated Papers'!A:A,A339)&gt;0,1,0))</f>
        <v>#NAME?</v>
      </c>
      <c r="H339">
        <f ca="1">IF(ISBLANK(A339), "", IF(SUMIFS('Annotated Papers'!L:L, 'Annotated Papers'!A:A,A339)&gt;0,1,0))</f>
        <v>0</v>
      </c>
      <c r="I339" s="24">
        <f ca="1">IF(ISBLANK(A339), "", VLOOKUP(A339,'Annotated Papers'!338:1377,4,FALSE))</f>
        <v>0</v>
      </c>
    </row>
    <row r="340" spans="1:9" ht="14">
      <c r="A340" s="25" t="str">
        <f ca="1">IFERROR(__xludf.DUMMYFUNCTION("""COMPUTED_VALUE"""),"Algorithms for Hiring and Outsourcing in the Online Labor Market")</f>
        <v>Algorithms for Hiring and Outsourcing in the Online Labor Market</v>
      </c>
      <c r="B340" t="str">
        <f ca="1">IF(ISBLANK(A340), "", VLOOKUP(A340,'Annotated Papers'!339:1378,2,FALSE))</f>
        <v>General</v>
      </c>
      <c r="C340" s="24">
        <f ca="1">IF(ISBLANK(A340), "", VLOOKUP(A340,'Annotated Papers'!339:1378,5,FALSE))</f>
        <v>1</v>
      </c>
      <c r="D340">
        <f ca="1">IF(ISBLANK(A340), "", IF(COUNTIF('Annotated Papers'!A:A,A340)&gt;1,1,0))</f>
        <v>1</v>
      </c>
      <c r="E340">
        <f ca="1">IF(ISBLANK(A340), "", IF(SUMIFS('Annotated Papers'!G:G, 'Annotated Papers'!A:A,A340)&gt;0,1,0))</f>
        <v>0</v>
      </c>
      <c r="F340">
        <f ca="1">IF(ISBLANK(A340), "", IF(SUMIFS('Annotated Papers'!H:H, 'Annotated Papers'!A:A,A340)&gt;0,1,0))</f>
        <v>1</v>
      </c>
      <c r="G340" t="e">
        <f ca="1">IF(ISBLANK(A340), "", IF(SUMIFS('Annotated Papers'!I:I, 'Annotated Papers'!A:A,A340)&gt;0,1,0))</f>
        <v>#NAME?</v>
      </c>
      <c r="H340">
        <f ca="1">IF(ISBLANK(A340), "", IF(SUMIFS('Annotated Papers'!L:L, 'Annotated Papers'!A:A,A340)&gt;0,1,0))</f>
        <v>0</v>
      </c>
      <c r="I340" s="24">
        <f ca="1">IF(ISBLANK(A340), "", VLOOKUP(A340,'Annotated Papers'!339:1378,4,FALSE))</f>
        <v>0</v>
      </c>
    </row>
    <row r="341" spans="1:9" ht="14">
      <c r="A341" s="25" t="str">
        <f ca="1">IFERROR(__xludf.DUMMYFUNCTION("""COMPUTED_VALUE"""),"Scalable Spectral Clustering Using Random Binning Features")</f>
        <v>Scalable Spectral Clustering Using Random Binning Features</v>
      </c>
      <c r="B341" t="str">
        <f ca="1">IF(ISBLANK(A341), "", VLOOKUP(A341,'Annotated Papers'!340:1379,2,FALSE))</f>
        <v>General</v>
      </c>
      <c r="C341" s="24">
        <f ca="1">IF(ISBLANK(A341), "", VLOOKUP(A341,'Annotated Papers'!340:1379,5,FALSE))</f>
        <v>0</v>
      </c>
      <c r="D341">
        <f ca="1">IF(ISBLANK(A341), "", IF(COUNTIF('Annotated Papers'!A:A,A341)&gt;1,1,0))</f>
        <v>1</v>
      </c>
      <c r="E341">
        <f ca="1">IF(ISBLANK(A341), "", IF(SUMIFS('Annotated Papers'!G:G, 'Annotated Papers'!A:A,A341)&gt;0,1,0))</f>
        <v>0</v>
      </c>
      <c r="F341">
        <f ca="1">IF(ISBLANK(A341), "", IF(SUMIFS('Annotated Papers'!H:H, 'Annotated Papers'!A:A,A341)&gt;0,1,0))</f>
        <v>1</v>
      </c>
      <c r="G341" t="e">
        <f ca="1">IF(ISBLANK(A341), "", IF(SUMIFS('Annotated Papers'!I:I, 'Annotated Papers'!A:A,A341)&gt;0,1,0))</f>
        <v>#NAME?</v>
      </c>
      <c r="H341">
        <f ca="1">IF(ISBLANK(A341), "", IF(SUMIFS('Annotated Papers'!L:L, 'Annotated Papers'!A:A,A341)&gt;0,1,0))</f>
        <v>0</v>
      </c>
      <c r="I341" s="24">
        <f ca="1">IF(ISBLANK(A341), "", VLOOKUP(A341,'Annotated Papers'!340:1379,4,FALSE))</f>
        <v>0</v>
      </c>
    </row>
    <row r="342" spans="1:9" ht="14">
      <c r="A342" s="25" t="str">
        <f ca="1">IFERROR(__xludf.DUMMYFUNCTION("""COMPUTED_VALUE"""),"Training Big Random Forests with Little Resources")</f>
        <v>Training Big Random Forests with Little Resources</v>
      </c>
      <c r="B342" t="str">
        <f ca="1">IF(ISBLANK(A342), "", VLOOKUP(A342,'Annotated Papers'!341:1380,2,FALSE))</f>
        <v>General</v>
      </c>
      <c r="C342" s="24">
        <f ca="1">IF(ISBLANK(A342), "", VLOOKUP(A342,'Annotated Papers'!341:1380,5,FALSE))</f>
        <v>1</v>
      </c>
      <c r="D342">
        <f ca="1">IF(ISBLANK(A342), "", IF(COUNTIF('Annotated Papers'!A:A,A342)&gt;1,1,0))</f>
        <v>1</v>
      </c>
      <c r="E342">
        <f ca="1">IF(ISBLANK(A342), "", IF(SUMIFS('Annotated Papers'!G:G, 'Annotated Papers'!A:A,A342)&gt;0,1,0))</f>
        <v>0</v>
      </c>
      <c r="F342">
        <f ca="1">IF(ISBLANK(A342), "", IF(SUMIFS('Annotated Papers'!H:H, 'Annotated Papers'!A:A,A342)&gt;0,1,0))</f>
        <v>1</v>
      </c>
      <c r="G342" t="e">
        <f ca="1">IF(ISBLANK(A342), "", IF(SUMIFS('Annotated Papers'!I:I, 'Annotated Papers'!A:A,A342)&gt;0,1,0))</f>
        <v>#NAME?</v>
      </c>
      <c r="H342">
        <f ca="1">IF(ISBLANK(A342), "", IF(SUMIFS('Annotated Papers'!L:L, 'Annotated Papers'!A:A,A342)&gt;0,1,0))</f>
        <v>0</v>
      </c>
      <c r="I342" s="24">
        <f ca="1">IF(ISBLANK(A342), "", VLOOKUP(A342,'Annotated Papers'!341:1380,4,FALSE))</f>
        <v>0</v>
      </c>
    </row>
    <row r="343" spans="1:9" ht="14">
      <c r="A343" s="25" t="str">
        <f ca="1">IFERROR(__xludf.DUMMYFUNCTION("""COMPUTED_VALUE"""),"Scalable Active Learning by Approximated Error Reduction")</f>
        <v>Scalable Active Learning by Approximated Error Reduction</v>
      </c>
      <c r="B343" t="str">
        <f ca="1">IF(ISBLANK(A343), "", VLOOKUP(A343,'Annotated Papers'!342:1381,2,FALSE))</f>
        <v>General</v>
      </c>
      <c r="C343" s="24">
        <f ca="1">IF(ISBLANK(A343), "", VLOOKUP(A343,'Annotated Papers'!342:1381,5,FALSE))</f>
        <v>1</v>
      </c>
      <c r="D343">
        <f ca="1">IF(ISBLANK(A343), "", IF(COUNTIF('Annotated Papers'!A:A,A343)&gt;1,1,0))</f>
        <v>1</v>
      </c>
      <c r="E343">
        <f ca="1">IF(ISBLANK(A343), "", IF(SUMIFS('Annotated Papers'!G:G, 'Annotated Papers'!A:A,A343)&gt;0,1,0))</f>
        <v>0</v>
      </c>
      <c r="F343">
        <f ca="1">IF(ISBLANK(A343), "", IF(SUMIFS('Annotated Papers'!H:H, 'Annotated Papers'!A:A,A343)&gt;0,1,0))</f>
        <v>1</v>
      </c>
      <c r="G343" t="e">
        <f ca="1">IF(ISBLANK(A343), "", IF(SUMIFS('Annotated Papers'!I:I, 'Annotated Papers'!A:A,A343)&gt;0,1,0))</f>
        <v>#NAME?</v>
      </c>
      <c r="H343">
        <f ca="1">IF(ISBLANK(A343), "", IF(SUMIFS('Annotated Papers'!L:L, 'Annotated Papers'!A:A,A343)&gt;0,1,0))</f>
        <v>0</v>
      </c>
      <c r="I343" s="24">
        <f ca="1">IF(ISBLANK(A343), "", VLOOKUP(A343,'Annotated Papers'!342:1381,4,FALSE))</f>
        <v>0</v>
      </c>
    </row>
    <row r="344" spans="1:9" ht="14">
      <c r="A344" s="25" t="str">
        <f ca="1">IFERROR(__xludf.DUMMYFUNCTION("""COMPUTED_VALUE"""),"Easing Embedding Learning by Comprehensive Transcription of Heterogeneous Information Networks")</f>
        <v>Easing Embedding Learning by Comprehensive Transcription of Heterogeneous Information Networks</v>
      </c>
      <c r="B344" t="str">
        <f ca="1">IF(ISBLANK(A344), "", VLOOKUP(A344,'Annotated Papers'!343:1382,2,FALSE))</f>
        <v>General</v>
      </c>
      <c r="C344" s="24">
        <f ca="1">IF(ISBLANK(A344), "", VLOOKUP(A344,'Annotated Papers'!343:1382,5,FALSE))</f>
        <v>1</v>
      </c>
      <c r="D344">
        <f ca="1">IF(ISBLANK(A344), "", IF(COUNTIF('Annotated Papers'!A:A,A344)&gt;1,1,0))</f>
        <v>1</v>
      </c>
      <c r="E344">
        <f ca="1">IF(ISBLANK(A344), "", IF(SUMIFS('Annotated Papers'!G:G, 'Annotated Papers'!A:A,A344)&gt;0,1,0))</f>
        <v>0</v>
      </c>
      <c r="F344">
        <f ca="1">IF(ISBLANK(A344), "", IF(SUMIFS('Annotated Papers'!H:H, 'Annotated Papers'!A:A,A344)&gt;0,1,0))</f>
        <v>1</v>
      </c>
      <c r="G344" t="e">
        <f ca="1">IF(ISBLANK(A344), "", IF(SUMIFS('Annotated Papers'!I:I, 'Annotated Papers'!A:A,A344)&gt;0,1,0))</f>
        <v>#NAME?</v>
      </c>
      <c r="H344">
        <f ca="1">IF(ISBLANK(A344), "", IF(SUMIFS('Annotated Papers'!L:L, 'Annotated Papers'!A:A,A344)&gt;0,1,0))</f>
        <v>0</v>
      </c>
      <c r="I344" s="24">
        <f ca="1">IF(ISBLANK(A344), "", VLOOKUP(A344,'Annotated Papers'!343:1382,4,FALSE))</f>
        <v>0</v>
      </c>
    </row>
    <row r="345" spans="1:9" ht="14">
      <c r="A345" s="25" t="str">
        <f ca="1">IFERROR(__xludf.DUMMYFUNCTION("""COMPUTED_VALUE"""),"Exploring Student Check-In Behavior for Improved Point-of-Interest Prediction")</f>
        <v>Exploring Student Check-In Behavior for Improved Point-of-Interest Prediction</v>
      </c>
      <c r="B345" t="str">
        <f ca="1">IF(ISBLANK(A345), "", VLOOKUP(A345,'Annotated Papers'!344:1383,2,FALSE))</f>
        <v>General</v>
      </c>
      <c r="C345" s="24">
        <f ca="1">IF(ISBLANK(A345), "", VLOOKUP(A345,'Annotated Papers'!344:1383,5,FALSE))</f>
        <v>0</v>
      </c>
      <c r="D345">
        <f ca="1">IF(ISBLANK(A345), "", IF(COUNTIF('Annotated Papers'!A:A,A345)&gt;1,1,0))</f>
        <v>0</v>
      </c>
      <c r="E345">
        <f ca="1">IF(ISBLANK(A345), "", IF(SUMIFS('Annotated Papers'!G:G, 'Annotated Papers'!A:A,A345)&gt;0,1,0))</f>
        <v>0</v>
      </c>
      <c r="F345">
        <f ca="1">IF(ISBLANK(A345), "", IF(SUMIFS('Annotated Papers'!H:H, 'Annotated Papers'!A:A,A345)&gt;0,1,0))</f>
        <v>0</v>
      </c>
      <c r="G345" t="e">
        <f ca="1">IF(ISBLANK(A345), "", IF(SUMIFS('Annotated Papers'!I:I, 'Annotated Papers'!A:A,A345)&gt;0,1,0))</f>
        <v>#NAME?</v>
      </c>
      <c r="H345">
        <f ca="1">IF(ISBLANK(A345), "", IF(SUMIFS('Annotated Papers'!L:L, 'Annotated Papers'!A:A,A345)&gt;0,1,0))</f>
        <v>0</v>
      </c>
      <c r="I345" s="24">
        <f ca="1">IF(ISBLANK(A345), "", VLOOKUP(A345,'Annotated Papers'!344:1383,4,FALSE))</f>
        <v>0</v>
      </c>
    </row>
    <row r="346" spans="1:9" ht="14">
      <c r="A346" s="25" t="str">
        <f ca="1">IFERROR(__xludf.DUMMYFUNCTION("""COMPUTED_VALUE"""),"Dynamic Neural Program Embeddings for Program Repair")</f>
        <v>Dynamic Neural Program Embeddings for Program Repair</v>
      </c>
      <c r="B346" t="str">
        <f ca="1">IF(ISBLANK(A346), "", VLOOKUP(A346,'Annotated Papers'!345:1384,2,FALSE))</f>
        <v>General</v>
      </c>
      <c r="C346" s="24">
        <f ca="1">IF(ISBLANK(A346), "", VLOOKUP(A346,'Annotated Papers'!345:1384,5,FALSE))</f>
        <v>0</v>
      </c>
      <c r="D346">
        <f ca="1">IF(ISBLANK(A346), "", IF(COUNTIF('Annotated Papers'!A:A,A346)&gt;1,1,0))</f>
        <v>1</v>
      </c>
      <c r="E346">
        <f ca="1">IF(ISBLANK(A346), "", IF(SUMIFS('Annotated Papers'!G:G, 'Annotated Papers'!A:A,A346)&gt;0,1,0))</f>
        <v>0</v>
      </c>
      <c r="F346">
        <f ca="1">IF(ISBLANK(A346), "", IF(SUMIFS('Annotated Papers'!H:H, 'Annotated Papers'!A:A,A346)&gt;0,1,0))</f>
        <v>0</v>
      </c>
      <c r="G346" t="e">
        <f ca="1">IF(ISBLANK(A346), "", IF(SUMIFS('Annotated Papers'!I:I, 'Annotated Papers'!A:A,A346)&gt;0,1,0))</f>
        <v>#NAME?</v>
      </c>
      <c r="H346">
        <f ca="1">IF(ISBLANK(A346), "", IF(SUMIFS('Annotated Papers'!L:L, 'Annotated Papers'!A:A,A346)&gt;0,1,0))</f>
        <v>0</v>
      </c>
      <c r="I346" s="24">
        <f ca="1">IF(ISBLANK(A346), "", VLOOKUP(A346,'Annotated Papers'!345:1384,4,FALSE))</f>
        <v>0</v>
      </c>
    </row>
    <row r="347" spans="1:9" ht="14">
      <c r="A347" s="25" t="str">
        <f ca="1">IFERROR(__xludf.DUMMYFUNCTION("""COMPUTED_VALUE"""),"Alternating Randomized Block Coordinate Descent")</f>
        <v>Alternating Randomized Block Coordinate Descent</v>
      </c>
      <c r="B347" t="str">
        <f ca="1">IF(ISBLANK(A347), "", VLOOKUP(A347,'Annotated Papers'!346:1385,2,FALSE))</f>
        <v>General</v>
      </c>
      <c r="C347" s="24">
        <f ca="1">IF(ISBLANK(A347), "", VLOOKUP(A347,'Annotated Papers'!346:1385,5,FALSE))</f>
        <v>0</v>
      </c>
      <c r="D347">
        <f ca="1">IF(ISBLANK(A347), "", IF(COUNTIF('Annotated Papers'!A:A,A347)&gt;1,1,0))</f>
        <v>0</v>
      </c>
      <c r="E347">
        <f ca="1">IF(ISBLANK(A347), "", IF(SUMIFS('Annotated Papers'!G:G, 'Annotated Papers'!A:A,A347)&gt;0,1,0))</f>
        <v>0</v>
      </c>
      <c r="F347">
        <f ca="1">IF(ISBLANK(A347), "", IF(SUMIFS('Annotated Papers'!H:H, 'Annotated Papers'!A:A,A347)&gt;0,1,0))</f>
        <v>1</v>
      </c>
      <c r="G347" t="e">
        <f ca="1">IF(ISBLANK(A347), "", IF(SUMIFS('Annotated Papers'!I:I, 'Annotated Papers'!A:A,A347)&gt;0,1,0))</f>
        <v>#NAME?</v>
      </c>
      <c r="H347">
        <f ca="1">IF(ISBLANK(A347), "", IF(SUMIFS('Annotated Papers'!L:L, 'Annotated Papers'!A:A,A347)&gt;0,1,0))</f>
        <v>0</v>
      </c>
      <c r="I347" s="24">
        <f ca="1">IF(ISBLANK(A347), "", VLOOKUP(A347,'Annotated Papers'!346:1385,4,FALSE))</f>
        <v>0</v>
      </c>
    </row>
    <row r="348" spans="1:9" ht="14">
      <c r="A348" s="25" t="str">
        <f ca="1">IFERROR(__xludf.DUMMYFUNCTION("""COMPUTED_VALUE"""),"Beyond Finite Layer Neural Networks: Bridging Deep Architectures and Numerical Differential Equations")</f>
        <v>Beyond Finite Layer Neural Networks: Bridging Deep Architectures and Numerical Differential Equations</v>
      </c>
      <c r="B348" t="str">
        <f ca="1">IF(ISBLANK(A348), "", VLOOKUP(A348,'Annotated Papers'!347:1386,2,FALSE))</f>
        <v>General</v>
      </c>
      <c r="C348" s="24">
        <f ca="1">IF(ISBLANK(A348), "", VLOOKUP(A348,'Annotated Papers'!347:1386,5,FALSE))</f>
        <v>0</v>
      </c>
      <c r="D348">
        <f ca="1">IF(ISBLANK(A348), "", IF(COUNTIF('Annotated Papers'!A:A,A348)&gt;1,1,0))</f>
        <v>1</v>
      </c>
      <c r="E348">
        <f ca="1">IF(ISBLANK(A348), "", IF(SUMIFS('Annotated Papers'!G:G, 'Annotated Papers'!A:A,A348)&gt;0,1,0))</f>
        <v>0</v>
      </c>
      <c r="F348">
        <f ca="1">IF(ISBLANK(A348), "", IF(SUMIFS('Annotated Papers'!H:H, 'Annotated Papers'!A:A,A348)&gt;0,1,0))</f>
        <v>1</v>
      </c>
      <c r="G348" t="e">
        <f ca="1">IF(ISBLANK(A348), "", IF(SUMIFS('Annotated Papers'!I:I, 'Annotated Papers'!A:A,A348)&gt;0,1,0))</f>
        <v>#NAME?</v>
      </c>
      <c r="H348">
        <f ca="1">IF(ISBLANK(A348), "", IF(SUMIFS('Annotated Papers'!L:L, 'Annotated Papers'!A:A,A348)&gt;0,1,0))</f>
        <v>0</v>
      </c>
      <c r="I348" s="24">
        <f ca="1">IF(ISBLANK(A348), "", VLOOKUP(A348,'Annotated Papers'!347:1386,4,FALSE))</f>
        <v>0</v>
      </c>
    </row>
    <row r="349" spans="1:9" ht="14">
      <c r="A349" s="26" t="str">
        <f ca="1">IFERROR(__xludf.DUMMYFUNCTION("""COMPUTED_VALUE"""),"Variable Typing: Assigning Meaning to Variables in Mathematical Text")</f>
        <v>Variable Typing: Assigning Meaning to Variables in Mathematical Text</v>
      </c>
      <c r="B349" t="str">
        <f ca="1">IF(ISBLANK(A349), "", VLOOKUP(A349,'Annotated Papers'!348:1387,2,FALSE))</f>
        <v>NLP</v>
      </c>
      <c r="C349" s="24">
        <f ca="1">IF(ISBLANK(A349), "", VLOOKUP(A349,'Annotated Papers'!348:1387,5,FALSE))</f>
        <v>0</v>
      </c>
      <c r="D349">
        <f ca="1">IF(ISBLANK(A349), "", IF(COUNTIF('Annotated Papers'!A:A,A349)&gt;1,1,0))</f>
        <v>0</v>
      </c>
      <c r="E349">
        <f ca="1">IF(ISBLANK(A349), "", IF(SUMIFS('Annotated Papers'!G:G, 'Annotated Papers'!A:A,A349)&gt;0,1,0))</f>
        <v>0</v>
      </c>
      <c r="F349">
        <f ca="1">IF(ISBLANK(A349), "", IF(SUMIFS('Annotated Papers'!H:H, 'Annotated Papers'!A:A,A349)&gt;0,1,0))</f>
        <v>1</v>
      </c>
      <c r="G349" t="e">
        <f ca="1">IF(ISBLANK(A349), "", IF(SUMIFS('Annotated Papers'!I:I, 'Annotated Papers'!A:A,A349)&gt;0,1,0))</f>
        <v>#NAME?</v>
      </c>
      <c r="H349">
        <f ca="1">IF(ISBLANK(A349), "", IF(SUMIFS('Annotated Papers'!L:L, 'Annotated Papers'!A:A,A349)&gt;0,1,0))</f>
        <v>1</v>
      </c>
      <c r="I349" s="24">
        <f ca="1">IF(ISBLANK(A349), "", VLOOKUP(A349,'Annotated Papers'!348:1387,4,FALSE))</f>
        <v>0</v>
      </c>
    </row>
    <row r="350" spans="1:9" ht="14">
      <c r="A350" s="26" t="str">
        <f ca="1">IFERROR(__xludf.DUMMYFUNCTION("""COMPUTED_VALUE"""),"Learning beyond Datasets: Knowledge Graph Augmented Neural Networks for Natural Language Processing")</f>
        <v>Learning beyond Datasets: Knowledge Graph Augmented Neural Networks for Natural Language Processing</v>
      </c>
      <c r="B350" t="str">
        <f ca="1">IF(ISBLANK(A350), "", VLOOKUP(A350,'Annotated Papers'!349:1388,2,FALSE))</f>
        <v>NLP</v>
      </c>
      <c r="C350" s="24">
        <f ca="1">IF(ISBLANK(A350), "", VLOOKUP(A350,'Annotated Papers'!349:1388,5,FALSE))</f>
        <v>0</v>
      </c>
      <c r="D350">
        <f ca="1">IF(ISBLANK(A350), "", IF(COUNTIF('Annotated Papers'!A:A,A350)&gt;1,1,0))</f>
        <v>1</v>
      </c>
      <c r="E350">
        <f ca="1">IF(ISBLANK(A350), "", IF(SUMIFS('Annotated Papers'!G:G, 'Annotated Papers'!A:A,A350)&gt;0,1,0))</f>
        <v>0</v>
      </c>
      <c r="F350">
        <f ca="1">IF(ISBLANK(A350), "", IF(SUMIFS('Annotated Papers'!H:H, 'Annotated Papers'!A:A,A350)&gt;0,1,0))</f>
        <v>1</v>
      </c>
      <c r="G350" t="e">
        <f ca="1">IF(ISBLANK(A350), "", IF(SUMIFS('Annotated Papers'!I:I, 'Annotated Papers'!A:A,A350)&gt;0,1,0))</f>
        <v>#NAME?</v>
      </c>
      <c r="H350">
        <f ca="1">IF(ISBLANK(A350), "", IF(SUMIFS('Annotated Papers'!L:L, 'Annotated Papers'!A:A,A350)&gt;0,1,0))</f>
        <v>0</v>
      </c>
      <c r="I350" s="24">
        <f ca="1">IF(ISBLANK(A350), "", VLOOKUP(A350,'Annotated Papers'!349:1388,4,FALSE))</f>
        <v>0</v>
      </c>
    </row>
    <row r="351" spans="1:9" ht="14">
      <c r="A351" s="26" t="str">
        <f ca="1">IFERROR(__xludf.DUMMYFUNCTION("""COMPUTED_VALUE"""),"Comparing Constraints for Taxonomic Organization")</f>
        <v>Comparing Constraints for Taxonomic Organization</v>
      </c>
      <c r="B351" t="str">
        <f ca="1">IF(ISBLANK(A351), "", VLOOKUP(A351,'Annotated Papers'!350:1389,2,FALSE))</f>
        <v>NLP</v>
      </c>
      <c r="C351" s="24">
        <f ca="1">IF(ISBLANK(A351), "", VLOOKUP(A351,'Annotated Papers'!350:1389,5,FALSE))</f>
        <v>0</v>
      </c>
      <c r="D351">
        <f ca="1">IF(ISBLANK(A351), "", IF(COUNTIF('Annotated Papers'!A:A,A351)&gt;1,1,0))</f>
        <v>1</v>
      </c>
      <c r="E351">
        <f ca="1">IF(ISBLANK(A351), "", IF(SUMIFS('Annotated Papers'!G:G, 'Annotated Papers'!A:A,A351)&gt;0,1,0))</f>
        <v>0</v>
      </c>
      <c r="F351">
        <f ca="1">IF(ISBLANK(A351), "", IF(SUMIFS('Annotated Papers'!H:H, 'Annotated Papers'!A:A,A351)&gt;0,1,0))</f>
        <v>1</v>
      </c>
      <c r="G351" t="e">
        <f ca="1">IF(ISBLANK(A351), "", IF(SUMIFS('Annotated Papers'!I:I, 'Annotated Papers'!A:A,A351)&gt;0,1,0))</f>
        <v>#NAME?</v>
      </c>
      <c r="H351">
        <f ca="1">IF(ISBLANK(A351), "", IF(SUMIFS('Annotated Papers'!L:L, 'Annotated Papers'!A:A,A351)&gt;0,1,0))</f>
        <v>0</v>
      </c>
      <c r="I351" s="24">
        <f ca="1">IF(ISBLANK(A351), "", VLOOKUP(A351,'Annotated Papers'!350:1389,4,FALSE))</f>
        <v>0</v>
      </c>
    </row>
    <row r="352" spans="1:9" ht="14">
      <c r="A352" s="26" t="str">
        <f ca="1">IFERROR(__xludf.DUMMYFUNCTION("""COMPUTED_VALUE"""),"http://aclweb.org/anthology/D18-1019")</f>
        <v>http://aclweb.org/anthology/D18-1019</v>
      </c>
      <c r="B352" t="str">
        <f ca="1">IF(ISBLANK(A352), "", VLOOKUP(A352,'Annotated Papers'!351:1390,2,FALSE))</f>
        <v>NLP</v>
      </c>
      <c r="C352" s="24">
        <f ca="1">IF(ISBLANK(A352), "", VLOOKUP(A352,'Annotated Papers'!351:1390,5,FALSE))</f>
        <v>1</v>
      </c>
      <c r="D352">
        <f ca="1">IF(ISBLANK(A352), "", IF(COUNTIF('Annotated Papers'!A:A,A352)&gt;1,1,0))</f>
        <v>1</v>
      </c>
      <c r="E352">
        <f ca="1">IF(ISBLANK(A352), "", IF(SUMIFS('Annotated Papers'!G:G, 'Annotated Papers'!A:A,A352)&gt;0,1,0))</f>
        <v>0</v>
      </c>
      <c r="F352">
        <f ca="1">IF(ISBLANK(A352), "", IF(SUMIFS('Annotated Papers'!H:H, 'Annotated Papers'!A:A,A352)&gt;0,1,0))</f>
        <v>1</v>
      </c>
      <c r="G352" t="e">
        <f ca="1">IF(ISBLANK(A352), "", IF(SUMIFS('Annotated Papers'!I:I, 'Annotated Papers'!A:A,A352)&gt;0,1,0))</f>
        <v>#NAME?</v>
      </c>
      <c r="H352">
        <f ca="1">IF(ISBLANK(A352), "", IF(SUMIFS('Annotated Papers'!L:L, 'Annotated Papers'!A:A,A352)&gt;0,1,0))</f>
        <v>0</v>
      </c>
      <c r="I352" s="24">
        <f ca="1">IF(ISBLANK(A352), "", VLOOKUP(A352,'Annotated Papers'!351:1390,4,FALSE))</f>
        <v>0</v>
      </c>
    </row>
    <row r="353" spans="1:9" ht="14">
      <c r="A353" s="26" t="str">
        <f ca="1">IFERROR(__xludf.DUMMYFUNCTION("""COMPUTED_VALUE"""),"Predicting News Headline Popularity with Syntactic and Semantic Knowledge Using Multi-Task Learning")</f>
        <v>Predicting News Headline Popularity with Syntactic and Semantic Knowledge Using Multi-Task Learning</v>
      </c>
      <c r="B353" t="str">
        <f ca="1">IF(ISBLANK(A353), "", VLOOKUP(A353,'Annotated Papers'!354:1393,2,FALSE))</f>
        <v>NLP</v>
      </c>
      <c r="C353" s="24">
        <f ca="1">IF(ISBLANK(A353), "", VLOOKUP(A353,'Annotated Papers'!354:1393,5,FALSE))</f>
        <v>1</v>
      </c>
      <c r="D353">
        <f ca="1">IF(ISBLANK(A353), "", IF(COUNTIF('Annotated Papers'!A:A,A353)&gt;1,1,0))</f>
        <v>0</v>
      </c>
      <c r="E353">
        <f ca="1">IF(ISBLANK(A353), "", IF(SUMIFS('Annotated Papers'!G:G, 'Annotated Papers'!A:A,A353)&gt;0,1,0))</f>
        <v>0</v>
      </c>
      <c r="F353">
        <f ca="1">IF(ISBLANK(A353), "", IF(SUMIFS('Annotated Papers'!H:H, 'Annotated Papers'!A:A,A353)&gt;0,1,0))</f>
        <v>0</v>
      </c>
      <c r="G353" t="e">
        <f ca="1">IF(ISBLANK(A353), "", IF(SUMIFS('Annotated Papers'!I:I, 'Annotated Papers'!A:A,A353)&gt;0,1,0))</f>
        <v>#NAME?</v>
      </c>
      <c r="H353">
        <f ca="1">IF(ISBLANK(A353), "", IF(SUMIFS('Annotated Papers'!L:L, 'Annotated Papers'!A:A,A353)&gt;0,1,0))</f>
        <v>0</v>
      </c>
      <c r="I353" s="24">
        <f ca="1">IF(ISBLANK(A353), "", VLOOKUP(A353,'Annotated Papers'!354:1393,4,FALSE))</f>
        <v>0</v>
      </c>
    </row>
    <row r="354" spans="1:9" ht="14">
      <c r="A354" s="26" t="str">
        <f ca="1">IFERROR(__xludf.DUMMYFUNCTION("""COMPUTED_VALUE"""),"ExtRA: Extracting Prominent Review Aspects from Customer Feedback")</f>
        <v>ExtRA: Extracting Prominent Review Aspects from Customer Feedback</v>
      </c>
      <c r="B354" t="str">
        <f ca="1">IF(ISBLANK(A354), "", VLOOKUP(A354,'Annotated Papers'!355:1394,2,FALSE))</f>
        <v>NLP</v>
      </c>
      <c r="C354" s="24">
        <f ca="1">IF(ISBLANK(A354), "", VLOOKUP(A354,'Annotated Papers'!355:1394,5,FALSE))</f>
        <v>0</v>
      </c>
      <c r="D354">
        <f ca="1">IF(ISBLANK(A354), "", IF(COUNTIF('Annotated Papers'!A:A,A354)&gt;1,1,0))</f>
        <v>0</v>
      </c>
      <c r="E354">
        <f ca="1">IF(ISBLANK(A354), "", IF(SUMIFS('Annotated Papers'!G:G, 'Annotated Papers'!A:A,A354)&gt;0,1,0))</f>
        <v>0</v>
      </c>
      <c r="F354">
        <f ca="1">IF(ISBLANK(A354), "", IF(SUMIFS('Annotated Papers'!H:H, 'Annotated Papers'!A:A,A354)&gt;0,1,0))</f>
        <v>1</v>
      </c>
      <c r="G354" t="e">
        <f ca="1">IF(ISBLANK(A354), "", IF(SUMIFS('Annotated Papers'!I:I, 'Annotated Papers'!A:A,A354)&gt;0,1,0))</f>
        <v>#NAME?</v>
      </c>
      <c r="H354">
        <f ca="1">IF(ISBLANK(A354), "", IF(SUMIFS('Annotated Papers'!L:L, 'Annotated Papers'!A:A,A354)&gt;0,1,0))</f>
        <v>0</v>
      </c>
      <c r="I354" s="24">
        <f ca="1">IF(ISBLANK(A354), "", VLOOKUP(A354,'Annotated Papers'!355:1394,4,FALSE))</f>
        <v>0</v>
      </c>
    </row>
    <row r="355" spans="1:9" ht="14">
      <c r="A355" s="26" t="str">
        <f ca="1">IFERROR(__xludf.DUMMYFUNCTION("""COMPUTED_VALUE"""),"Interpretable Emoji Prediction via Label-Wise Attention LSTMs")</f>
        <v>Interpretable Emoji Prediction via Label-Wise Attention LSTMs</v>
      </c>
      <c r="B355" t="str">
        <f ca="1">IF(ISBLANK(A355), "", VLOOKUP(A355,'Annotated Papers'!356:1395,2,FALSE))</f>
        <v>NLP</v>
      </c>
      <c r="C355" s="24">
        <f ca="1">IF(ISBLANK(A355), "", VLOOKUP(A355,'Annotated Papers'!356:1395,5,FALSE))</f>
        <v>1</v>
      </c>
      <c r="D355">
        <f ca="1">IF(ISBLANK(A355), "", IF(COUNTIF('Annotated Papers'!A:A,A355)&gt;1,1,0))</f>
        <v>1</v>
      </c>
      <c r="E355">
        <f ca="1">IF(ISBLANK(A355), "", IF(SUMIFS('Annotated Papers'!G:G, 'Annotated Papers'!A:A,A355)&gt;0,1,0))</f>
        <v>0</v>
      </c>
      <c r="F355">
        <f ca="1">IF(ISBLANK(A355), "", IF(SUMIFS('Annotated Papers'!H:H, 'Annotated Papers'!A:A,A355)&gt;0,1,0))</f>
        <v>1</v>
      </c>
      <c r="G355" t="e">
        <f ca="1">IF(ISBLANK(A355), "", IF(SUMIFS('Annotated Papers'!I:I, 'Annotated Papers'!A:A,A355)&gt;0,1,0))</f>
        <v>#NAME?</v>
      </c>
      <c r="H355">
        <f ca="1">IF(ISBLANK(A355), "", IF(SUMIFS('Annotated Papers'!L:L, 'Annotated Papers'!A:A,A355)&gt;0,1,0))</f>
        <v>0</v>
      </c>
      <c r="I355" s="24">
        <f ca="1">IF(ISBLANK(A355), "", VLOOKUP(A355,'Annotated Papers'!356:1395,4,FALSE))</f>
        <v>0</v>
      </c>
    </row>
    <row r="356" spans="1:9" ht="14">
      <c r="A356" s="26" t="str">
        <f ca="1">IFERROR(__xludf.DUMMYFUNCTION("""COMPUTED_VALUE"""),"Reducing Gender Bias in Abusive Language Detection")</f>
        <v>Reducing Gender Bias in Abusive Language Detection</v>
      </c>
      <c r="B356" t="str">
        <f ca="1">IF(ISBLANK(A356), "", VLOOKUP(A356,'Annotated Papers'!357:1396,2,FALSE))</f>
        <v>NLP</v>
      </c>
      <c r="C356" s="24">
        <f ca="1">IF(ISBLANK(A356), "", VLOOKUP(A356,'Annotated Papers'!357:1396,5,FALSE))</f>
        <v>0</v>
      </c>
      <c r="D356">
        <f ca="1">IF(ISBLANK(A356), "", IF(COUNTIF('Annotated Papers'!A:A,A356)&gt;1,1,0))</f>
        <v>1</v>
      </c>
      <c r="E356">
        <f ca="1">IF(ISBLANK(A356), "", IF(SUMIFS('Annotated Papers'!G:G, 'Annotated Papers'!A:A,A356)&gt;0,1,0))</f>
        <v>0</v>
      </c>
      <c r="F356">
        <f ca="1">IF(ISBLANK(A356), "", IF(SUMIFS('Annotated Papers'!H:H, 'Annotated Papers'!A:A,A356)&gt;0,1,0))</f>
        <v>1</v>
      </c>
      <c r="G356" t="e">
        <f ca="1">IF(ISBLANK(A356), "", IF(SUMIFS('Annotated Papers'!I:I, 'Annotated Papers'!A:A,A356)&gt;0,1,0))</f>
        <v>#NAME?</v>
      </c>
      <c r="H356">
        <f ca="1">IF(ISBLANK(A356), "", IF(SUMIFS('Annotated Papers'!L:L, 'Annotated Papers'!A:A,A356)&gt;0,1,0))</f>
        <v>0</v>
      </c>
      <c r="I356" s="24">
        <f ca="1">IF(ISBLANK(A356), "", VLOOKUP(A356,'Annotated Papers'!357:1396,4,FALSE))</f>
        <v>0</v>
      </c>
    </row>
    <row r="357" spans="1:9" ht="14">
      <c r="A357" s="26" t="str">
        <f ca="1">IFERROR(__xludf.DUMMYFUNCTION("""COMPUTED_VALUE"""),"Lexicosyntactic Inference in Neural Models")</f>
        <v>Lexicosyntactic Inference in Neural Models</v>
      </c>
      <c r="B357" t="str">
        <f ca="1">IF(ISBLANK(A357), "", VLOOKUP(A357,'Annotated Papers'!358:1397,2,FALSE))</f>
        <v>NLP</v>
      </c>
      <c r="C357" s="24">
        <f ca="1">IF(ISBLANK(A357), "", VLOOKUP(A357,'Annotated Papers'!358:1397,5,FALSE))</f>
        <v>0</v>
      </c>
      <c r="D357">
        <f ca="1">IF(ISBLANK(A357), "", IF(COUNTIF('Annotated Papers'!A:A,A357)&gt;1,1,0))</f>
        <v>1</v>
      </c>
      <c r="E357">
        <f ca="1">IF(ISBLANK(A357), "", IF(SUMIFS('Annotated Papers'!G:G, 'Annotated Papers'!A:A,A357)&gt;0,1,0))</f>
        <v>0</v>
      </c>
      <c r="F357">
        <f ca="1">IF(ISBLANK(A357), "", IF(SUMIFS('Annotated Papers'!H:H, 'Annotated Papers'!A:A,A357)&gt;0,1,0))</f>
        <v>1</v>
      </c>
      <c r="G357" t="e">
        <f ca="1">IF(ISBLANK(A357), "", IF(SUMIFS('Annotated Papers'!I:I, 'Annotated Papers'!A:A,A357)&gt;0,1,0))</f>
        <v>#NAME?</v>
      </c>
      <c r="H357">
        <f ca="1">IF(ISBLANK(A357), "", IF(SUMIFS('Annotated Papers'!L:L, 'Annotated Papers'!A:A,A357)&gt;0,1,0))</f>
        <v>1</v>
      </c>
      <c r="I357" s="24">
        <f ca="1">IF(ISBLANK(A357), "", VLOOKUP(A357,'Annotated Papers'!358:1397,4,FALSE))</f>
        <v>0</v>
      </c>
    </row>
    <row r="358" spans="1:9" ht="14">
      <c r="A358" s="26" t="str">
        <f ca="1">IFERROR(__xludf.DUMMYFUNCTION("""COMPUTED_VALUE"""),"Syntactical Analysis of the Weaknesses of Sentiment Analyzers")</f>
        <v>Syntactical Analysis of the Weaknesses of Sentiment Analyzers</v>
      </c>
      <c r="B358" t="str">
        <f ca="1">IF(ISBLANK(A358), "", VLOOKUP(A358,'Annotated Papers'!359:1398,2,FALSE))</f>
        <v>NLP</v>
      </c>
      <c r="C358" s="24">
        <f ca="1">IF(ISBLANK(A358), "", VLOOKUP(A358,'Annotated Papers'!359:1398,5,FALSE))</f>
        <v>0</v>
      </c>
      <c r="D358">
        <f ca="1">IF(ISBLANK(A358), "", IF(COUNTIF('Annotated Papers'!A:A,A358)&gt;1,1,0))</f>
        <v>1</v>
      </c>
      <c r="E358">
        <f ca="1">IF(ISBLANK(A358), "", IF(SUMIFS('Annotated Papers'!G:G, 'Annotated Papers'!A:A,A358)&gt;0,1,0))</f>
        <v>0</v>
      </c>
      <c r="F358">
        <f ca="1">IF(ISBLANK(A358), "", IF(SUMIFS('Annotated Papers'!H:H, 'Annotated Papers'!A:A,A358)&gt;0,1,0))</f>
        <v>1</v>
      </c>
      <c r="G358" t="e">
        <f ca="1">IF(ISBLANK(A358), "", IF(SUMIFS('Annotated Papers'!I:I, 'Annotated Papers'!A:A,A358)&gt;0,1,0))</f>
        <v>#NAME?</v>
      </c>
      <c r="H358">
        <f ca="1">IF(ISBLANK(A358), "", IF(SUMIFS('Annotated Papers'!L:L, 'Annotated Papers'!A:A,A358)&gt;0,1,0))</f>
        <v>0</v>
      </c>
      <c r="I358" s="24">
        <f ca="1">IF(ISBLANK(A358), "", VLOOKUP(A358,'Annotated Papers'!359:1398,4,FALSE))</f>
        <v>0</v>
      </c>
    </row>
    <row r="359" spans="1:9" ht="14">
      <c r="A359" s="26" t="str">
        <f ca="1">IFERROR(__xludf.DUMMYFUNCTION("""COMPUTED_VALUE"""),"Learning Unsupervised Word Translations Without Adversaries")</f>
        <v>Learning Unsupervised Word Translations Without Adversaries</v>
      </c>
      <c r="B359" t="str">
        <f ca="1">IF(ISBLANK(A359), "", VLOOKUP(A359,'Annotated Papers'!360:1399,2,FALSE))</f>
        <v>NLP</v>
      </c>
      <c r="C359" s="24">
        <f ca="1">IF(ISBLANK(A359), "", VLOOKUP(A359,'Annotated Papers'!360:1399,5,FALSE))</f>
        <v>0</v>
      </c>
      <c r="D359">
        <f ca="1">IF(ISBLANK(A359), "", IF(COUNTIF('Annotated Papers'!A:A,A359)&gt;1,1,0))</f>
        <v>1</v>
      </c>
      <c r="E359">
        <f ca="1">IF(ISBLANK(A359), "", IF(SUMIFS('Annotated Papers'!G:G, 'Annotated Papers'!A:A,A359)&gt;0,1,0))</f>
        <v>0</v>
      </c>
      <c r="F359">
        <f ca="1">IF(ISBLANK(A359), "", IF(SUMIFS('Annotated Papers'!H:H, 'Annotated Papers'!A:A,A359)&gt;0,1,0))</f>
        <v>1</v>
      </c>
      <c r="G359" t="e">
        <f ca="1">IF(ISBLANK(A359), "", IF(SUMIFS('Annotated Papers'!I:I, 'Annotated Papers'!A:A,A359)&gt;0,1,0))</f>
        <v>#NAME?</v>
      </c>
      <c r="H359">
        <f ca="1">IF(ISBLANK(A359), "", IF(SUMIFS('Annotated Papers'!L:L, 'Annotated Papers'!A:A,A359)&gt;0,1,0))</f>
        <v>0</v>
      </c>
      <c r="I359" s="24">
        <f ca="1">IF(ISBLANK(A359), "", VLOOKUP(A359,'Annotated Papers'!360:1399,4,FALSE))</f>
        <v>0</v>
      </c>
    </row>
    <row r="360" spans="1:9" ht="14">
      <c r="A360" s="25" t="str">
        <f ca="1">IFERROR(__xludf.DUMMYFUNCTION("""COMPUTED_VALUE"""),"")</f>
        <v/>
      </c>
      <c r="B360" t="e">
        <f ca="1">IF(ISBLANK(A360), "", VLOOKUP(A360,'Annotated Papers'!361:1400,2,FALSE))</f>
        <v>#N/A</v>
      </c>
      <c r="C360" s="24" t="e">
        <f ca="1">IF(ISBLANK(A360), "", VLOOKUP(A360,'Annotated Papers'!361:1400,5,FALSE))</f>
        <v>#N/A</v>
      </c>
      <c r="D360">
        <f ca="1">IF(ISBLANK(A360), "", IF(COUNTIF('Annotated Papers'!A:A,A360)&gt;1,1,0))</f>
        <v>1</v>
      </c>
      <c r="E360">
        <f ca="1">IF(ISBLANK(A360), "", IF(SUMIFS('Annotated Papers'!G:G, 'Annotated Papers'!A:A,A360)&gt;0,1,0))</f>
        <v>0</v>
      </c>
      <c r="F360">
        <f ca="1">IF(ISBLANK(A360), "", IF(SUMIFS('Annotated Papers'!H:H, 'Annotated Papers'!A:A,A360)&gt;0,1,0))</f>
        <v>0</v>
      </c>
      <c r="G360">
        <f ca="1">IF(ISBLANK(A360), "", IF(SUMIFS('Annotated Papers'!I:I, 'Annotated Papers'!A:A,A360)&gt;0,1,0))</f>
        <v>0</v>
      </c>
      <c r="H360">
        <f ca="1">IF(ISBLANK(A360), "", IF(SUMIFS('Annotated Papers'!L:L, 'Annotated Papers'!A:A,A360)&gt;0,1,0))</f>
        <v>0</v>
      </c>
      <c r="I360" s="24" t="e">
        <f ca="1">IF(ISBLANK(A360), "", VLOOKUP(A360,'Annotated Papers'!361:1400,4,FALSE))</f>
        <v>#N/A</v>
      </c>
    </row>
    <row r="361" spans="1:9" ht="14">
      <c r="A361" s="25"/>
      <c r="B361" t="str">
        <f>IF(ISBLANK(A361), "", VLOOKUP(A361,'Annotated Papers'!362:1401,2,FALSE))</f>
        <v/>
      </c>
      <c r="C361" s="24" t="str">
        <f>IF(ISBLANK(A361), "", VLOOKUP(A361,'Annotated Papers'!362:1401,5,FALSE))</f>
        <v/>
      </c>
      <c r="D361" t="str">
        <f>IF(ISBLANK(A361), "", IF(COUNTIF('Annotated Papers'!A:A,A361)&gt;1,1,0))</f>
        <v/>
      </c>
      <c r="E361" t="str">
        <f>IF(ISBLANK(A361), "", IF(SUMIFS('Annotated Papers'!G:G, 'Annotated Papers'!A:A,A361)&gt;0,1,0))</f>
        <v/>
      </c>
      <c r="F361" t="str">
        <f>IF(ISBLANK(A361), "", IF(SUMIFS('Annotated Papers'!H:H, 'Annotated Papers'!A:A,A361)&gt;0,1,0))</f>
        <v/>
      </c>
      <c r="G361" t="str">
        <f>IF(ISBLANK(A361), "", IF(SUMIFS('Annotated Papers'!I:I, 'Annotated Papers'!A:A,A361)&gt;0,1,0))</f>
        <v/>
      </c>
      <c r="H361" t="str">
        <f>IF(ISBLANK(A361), "", IF(SUMIFS('Annotated Papers'!L:L, 'Annotated Papers'!A:A,A361)&gt;0,1,0))</f>
        <v/>
      </c>
      <c r="I361" s="24" t="str">
        <f>IF(ISBLANK(A361), "", VLOOKUP(A361,'Annotated Papers'!362:1401,4,FALSE))</f>
        <v/>
      </c>
    </row>
    <row r="362" spans="1:9" ht="14">
      <c r="A362" s="25"/>
      <c r="B362" t="str">
        <f>IF(ISBLANK(A362), "", VLOOKUP(A362,'Annotated Papers'!363:1402,2,FALSE))</f>
        <v/>
      </c>
      <c r="C362" s="24" t="str">
        <f>IF(ISBLANK(A362), "", VLOOKUP(A362,'Annotated Papers'!363:1402,5,FALSE))</f>
        <v/>
      </c>
      <c r="D362" t="str">
        <f>IF(ISBLANK(A362), "", IF(COUNTIF('Annotated Papers'!A:A,A362)&gt;1,1,0))</f>
        <v/>
      </c>
      <c r="E362" t="str">
        <f>IF(ISBLANK(A362), "", IF(SUMIFS('Annotated Papers'!G:G, 'Annotated Papers'!A:A,A362)&gt;0,1,0))</f>
        <v/>
      </c>
      <c r="F362" t="str">
        <f>IF(ISBLANK(A362), "", IF(SUMIFS('Annotated Papers'!H:H, 'Annotated Papers'!A:A,A362)&gt;0,1,0))</f>
        <v/>
      </c>
      <c r="G362" t="str">
        <f>IF(ISBLANK(A362), "", IF(SUMIFS('Annotated Papers'!I:I, 'Annotated Papers'!A:A,A362)&gt;0,1,0))</f>
        <v/>
      </c>
      <c r="H362" t="str">
        <f>IF(ISBLANK(A362), "", IF(SUMIFS('Annotated Papers'!L:L, 'Annotated Papers'!A:A,A362)&gt;0,1,0))</f>
        <v/>
      </c>
      <c r="I362" s="24" t="str">
        <f>IF(ISBLANK(A362), "", VLOOKUP(A362,'Annotated Papers'!363:1402,4,FALSE))</f>
        <v/>
      </c>
    </row>
    <row r="363" spans="1:9" ht="14">
      <c r="A363" s="25"/>
      <c r="B363" t="str">
        <f>IF(ISBLANK(A363), "", VLOOKUP(A363,'Annotated Papers'!364:1403,2,FALSE))</f>
        <v/>
      </c>
      <c r="C363" s="24" t="str">
        <f>IF(ISBLANK(A363), "", VLOOKUP(A363,'Annotated Papers'!364:1403,5,FALSE))</f>
        <v/>
      </c>
      <c r="D363" t="str">
        <f>IF(ISBLANK(A363), "", IF(COUNTIF('Annotated Papers'!A:A,A363)&gt;1,1,0))</f>
        <v/>
      </c>
      <c r="E363" t="str">
        <f>IF(ISBLANK(A363), "", IF(SUMIFS('Annotated Papers'!G:G, 'Annotated Papers'!A:A,A363)&gt;0,1,0))</f>
        <v/>
      </c>
      <c r="F363" t="str">
        <f>IF(ISBLANK(A363), "", IF(SUMIFS('Annotated Papers'!H:H, 'Annotated Papers'!A:A,A363)&gt;0,1,0))</f>
        <v/>
      </c>
      <c r="G363" t="str">
        <f>IF(ISBLANK(A363), "", IF(SUMIFS('Annotated Papers'!I:I, 'Annotated Papers'!A:A,A363)&gt;0,1,0))</f>
        <v/>
      </c>
      <c r="H363" t="str">
        <f>IF(ISBLANK(A363), "", IF(SUMIFS('Annotated Papers'!L:L, 'Annotated Papers'!A:A,A363)&gt;0,1,0))</f>
        <v/>
      </c>
      <c r="I363" s="24" t="str">
        <f>IF(ISBLANK(A363), "", VLOOKUP(A363,'Annotated Papers'!364:1403,4,FALSE))</f>
        <v/>
      </c>
    </row>
    <row r="364" spans="1:9" ht="14">
      <c r="A364" s="25"/>
      <c r="B364" t="str">
        <f>IF(ISBLANK(A364), "", VLOOKUP(A364,'Annotated Papers'!365:1404,2,FALSE))</f>
        <v/>
      </c>
      <c r="C364" s="24" t="str">
        <f>IF(ISBLANK(A364), "", VLOOKUP(A364,'Annotated Papers'!365:1404,5,FALSE))</f>
        <v/>
      </c>
      <c r="D364" t="str">
        <f>IF(ISBLANK(A364), "", IF(COUNTIF('Annotated Papers'!A:A,A364)&gt;1,1,0))</f>
        <v/>
      </c>
      <c r="E364" t="str">
        <f>IF(ISBLANK(A364), "", IF(SUMIFS('Annotated Papers'!G:G, 'Annotated Papers'!A:A,A364)&gt;0,1,0))</f>
        <v/>
      </c>
      <c r="F364" t="str">
        <f>IF(ISBLANK(A364), "", IF(SUMIFS('Annotated Papers'!H:H, 'Annotated Papers'!A:A,A364)&gt;0,1,0))</f>
        <v/>
      </c>
      <c r="G364" t="str">
        <f>IF(ISBLANK(A364), "", IF(SUMIFS('Annotated Papers'!I:I, 'Annotated Papers'!A:A,A364)&gt;0,1,0))</f>
        <v/>
      </c>
      <c r="H364" t="str">
        <f>IF(ISBLANK(A364), "", IF(SUMIFS('Annotated Papers'!L:L, 'Annotated Papers'!A:A,A364)&gt;0,1,0))</f>
        <v/>
      </c>
      <c r="I364" s="24" t="str">
        <f>IF(ISBLANK(A364), "", VLOOKUP(A364,'Annotated Papers'!365:1404,4,FALSE))</f>
        <v/>
      </c>
    </row>
    <row r="365" spans="1:9" ht="14">
      <c r="A365" s="25"/>
      <c r="B365" t="str">
        <f>IF(ISBLANK(A365), "", VLOOKUP(A365,'Annotated Papers'!366:1405,2,FALSE))</f>
        <v/>
      </c>
      <c r="C365" s="24" t="str">
        <f>IF(ISBLANK(A365), "", VLOOKUP(A365,'Annotated Papers'!366:1405,5,FALSE))</f>
        <v/>
      </c>
      <c r="D365" t="str">
        <f>IF(ISBLANK(A365), "", IF(COUNTIF('Annotated Papers'!A:A,A365)&gt;1,1,0))</f>
        <v/>
      </c>
      <c r="E365" t="str">
        <f>IF(ISBLANK(A365), "", IF(SUMIFS('Annotated Papers'!G:G, 'Annotated Papers'!A:A,A365)&gt;0,1,0))</f>
        <v/>
      </c>
      <c r="F365" t="str">
        <f>IF(ISBLANK(A365), "", IF(SUMIFS('Annotated Papers'!H:H, 'Annotated Papers'!A:A,A365)&gt;0,1,0))</f>
        <v/>
      </c>
      <c r="G365" t="str">
        <f>IF(ISBLANK(A365), "", IF(SUMIFS('Annotated Papers'!I:I, 'Annotated Papers'!A:A,A365)&gt;0,1,0))</f>
        <v/>
      </c>
      <c r="H365" t="str">
        <f>IF(ISBLANK(A365), "", IF(SUMIFS('Annotated Papers'!L:L, 'Annotated Papers'!A:A,A365)&gt;0,1,0))</f>
        <v/>
      </c>
      <c r="I365" s="24" t="str">
        <f>IF(ISBLANK(A365), "", VLOOKUP(A365,'Annotated Papers'!366:1405,4,FALSE))</f>
        <v/>
      </c>
    </row>
    <row r="366" spans="1:9" ht="14">
      <c r="A366" s="25"/>
      <c r="B366" t="str">
        <f>IF(ISBLANK(A366), "", VLOOKUP(A366,'Annotated Papers'!367:1406,2,FALSE))</f>
        <v/>
      </c>
      <c r="C366" s="24" t="str">
        <f>IF(ISBLANK(A366), "", VLOOKUP(A366,'Annotated Papers'!367:1406,5,FALSE))</f>
        <v/>
      </c>
      <c r="D366" t="str">
        <f>IF(ISBLANK(A366), "", IF(COUNTIF('Annotated Papers'!A:A,A366)&gt;1,1,0))</f>
        <v/>
      </c>
      <c r="E366" t="str">
        <f>IF(ISBLANK(A366), "", IF(SUMIFS('Annotated Papers'!G:G, 'Annotated Papers'!A:A,A366)&gt;0,1,0))</f>
        <v/>
      </c>
      <c r="F366" t="str">
        <f>IF(ISBLANK(A366), "", IF(SUMIFS('Annotated Papers'!H:H, 'Annotated Papers'!A:A,A366)&gt;0,1,0))</f>
        <v/>
      </c>
      <c r="G366" t="str">
        <f>IF(ISBLANK(A366), "", IF(SUMIFS('Annotated Papers'!I:I, 'Annotated Papers'!A:A,A366)&gt;0,1,0))</f>
        <v/>
      </c>
      <c r="H366" t="str">
        <f>IF(ISBLANK(A366), "", IF(SUMIFS('Annotated Papers'!L:L, 'Annotated Papers'!A:A,A366)&gt;0,1,0))</f>
        <v/>
      </c>
      <c r="I366" s="24" t="str">
        <f>IF(ISBLANK(A366), "", VLOOKUP(A366,'Annotated Papers'!367:1406,4,FALSE))</f>
        <v/>
      </c>
    </row>
    <row r="367" spans="1:9" ht="14">
      <c r="A367" s="25"/>
      <c r="B367" t="str">
        <f>IF(ISBLANK(A367), "", VLOOKUP(A367,'Annotated Papers'!368:1407,2,FALSE))</f>
        <v/>
      </c>
      <c r="C367" s="24" t="str">
        <f>IF(ISBLANK(A367), "", VLOOKUP(A367,'Annotated Papers'!368:1407,5,FALSE))</f>
        <v/>
      </c>
      <c r="D367" t="str">
        <f>IF(ISBLANK(A367), "", IF(COUNTIF('Annotated Papers'!A:A,A367)&gt;1,1,0))</f>
        <v/>
      </c>
      <c r="E367" t="str">
        <f>IF(ISBLANK(A367), "", IF(SUMIFS('Annotated Papers'!G:G, 'Annotated Papers'!A:A,A367)&gt;0,1,0))</f>
        <v/>
      </c>
      <c r="F367" t="str">
        <f>IF(ISBLANK(A367), "", IF(SUMIFS('Annotated Papers'!H:H, 'Annotated Papers'!A:A,A367)&gt;0,1,0))</f>
        <v/>
      </c>
      <c r="G367" t="str">
        <f>IF(ISBLANK(A367), "", IF(SUMIFS('Annotated Papers'!I:I, 'Annotated Papers'!A:A,A367)&gt;0,1,0))</f>
        <v/>
      </c>
      <c r="H367" t="str">
        <f>IF(ISBLANK(A367), "", IF(SUMIFS('Annotated Papers'!L:L, 'Annotated Papers'!A:A,A367)&gt;0,1,0))</f>
        <v/>
      </c>
      <c r="I367" s="24" t="str">
        <f>IF(ISBLANK(A367), "", VLOOKUP(A367,'Annotated Papers'!368:1407,4,FALSE))</f>
        <v/>
      </c>
    </row>
    <row r="368" spans="1:9" ht="14">
      <c r="A368" s="25"/>
      <c r="B368" t="str">
        <f>IF(ISBLANK(A368), "", VLOOKUP(A368,'Annotated Papers'!369:1408,2,FALSE))</f>
        <v/>
      </c>
      <c r="C368" s="24" t="str">
        <f>IF(ISBLANK(A368), "", VLOOKUP(A368,'Annotated Papers'!369:1408,5,FALSE))</f>
        <v/>
      </c>
      <c r="D368" t="str">
        <f>IF(ISBLANK(A368), "", IF(COUNTIF('Annotated Papers'!A:A,A368)&gt;1,1,0))</f>
        <v/>
      </c>
      <c r="E368" t="str">
        <f>IF(ISBLANK(A368), "", IF(SUMIFS('Annotated Papers'!G:G, 'Annotated Papers'!A:A,A368)&gt;0,1,0))</f>
        <v/>
      </c>
      <c r="F368" t="str">
        <f>IF(ISBLANK(A368), "", IF(SUMIFS('Annotated Papers'!H:H, 'Annotated Papers'!A:A,A368)&gt;0,1,0))</f>
        <v/>
      </c>
      <c r="G368" t="str">
        <f>IF(ISBLANK(A368), "", IF(SUMIFS('Annotated Papers'!I:I, 'Annotated Papers'!A:A,A368)&gt;0,1,0))</f>
        <v/>
      </c>
      <c r="H368" t="str">
        <f>IF(ISBLANK(A368), "", IF(SUMIFS('Annotated Papers'!L:L, 'Annotated Papers'!A:A,A368)&gt;0,1,0))</f>
        <v/>
      </c>
      <c r="I368" s="24" t="str">
        <f>IF(ISBLANK(A368), "", VLOOKUP(A368,'Annotated Papers'!369:1408,4,FALSE))</f>
        <v/>
      </c>
    </row>
    <row r="369" spans="1:9" ht="14">
      <c r="A369" s="25"/>
      <c r="B369" t="str">
        <f>IF(ISBLANK(A369), "", VLOOKUP(A369,'Annotated Papers'!370:1409,2,FALSE))</f>
        <v/>
      </c>
      <c r="C369" s="24" t="str">
        <f>IF(ISBLANK(A369), "", VLOOKUP(A369,'Annotated Papers'!370:1409,5,FALSE))</f>
        <v/>
      </c>
      <c r="D369" t="str">
        <f>IF(ISBLANK(A369), "", IF(COUNTIF('Annotated Papers'!A:A,A369)&gt;1,1,0))</f>
        <v/>
      </c>
      <c r="E369" t="str">
        <f>IF(ISBLANK(A369), "", IF(SUMIFS('Annotated Papers'!G:G, 'Annotated Papers'!A:A,A369)&gt;0,1,0))</f>
        <v/>
      </c>
      <c r="F369" t="str">
        <f>IF(ISBLANK(A369), "", IF(SUMIFS('Annotated Papers'!H:H, 'Annotated Papers'!A:A,A369)&gt;0,1,0))</f>
        <v/>
      </c>
      <c r="G369" t="str">
        <f>IF(ISBLANK(A369), "", IF(SUMIFS('Annotated Papers'!I:I, 'Annotated Papers'!A:A,A369)&gt;0,1,0))</f>
        <v/>
      </c>
      <c r="H369" t="str">
        <f>IF(ISBLANK(A369), "", IF(SUMIFS('Annotated Papers'!L:L, 'Annotated Papers'!A:A,A369)&gt;0,1,0))</f>
        <v/>
      </c>
      <c r="I369" s="24" t="str">
        <f>IF(ISBLANK(A369), "", VLOOKUP(A369,'Annotated Papers'!370:1409,4,FALSE))</f>
        <v/>
      </c>
    </row>
    <row r="370" spans="1:9" ht="14">
      <c r="A370" s="25"/>
      <c r="B370" t="str">
        <f>IF(ISBLANK(A370), "", VLOOKUP(A370,'Annotated Papers'!371:1410,2,FALSE))</f>
        <v/>
      </c>
      <c r="C370" s="24" t="str">
        <f>IF(ISBLANK(A370), "", VLOOKUP(A370,'Annotated Papers'!371:1410,5,FALSE))</f>
        <v/>
      </c>
      <c r="D370" t="str">
        <f>IF(ISBLANK(A370), "", IF(COUNTIF('Annotated Papers'!A:A,A370)&gt;1,1,0))</f>
        <v/>
      </c>
      <c r="E370" t="str">
        <f>IF(ISBLANK(A370), "", IF(SUMIFS('Annotated Papers'!G:G, 'Annotated Papers'!A:A,A370)&gt;0,1,0))</f>
        <v/>
      </c>
      <c r="F370" t="str">
        <f>IF(ISBLANK(A370), "", IF(SUMIFS('Annotated Papers'!H:H, 'Annotated Papers'!A:A,A370)&gt;0,1,0))</f>
        <v/>
      </c>
      <c r="G370" t="str">
        <f>IF(ISBLANK(A370), "", IF(SUMIFS('Annotated Papers'!I:I, 'Annotated Papers'!A:A,A370)&gt;0,1,0))</f>
        <v/>
      </c>
      <c r="H370" t="str">
        <f>IF(ISBLANK(A370), "", IF(SUMIFS('Annotated Papers'!L:L, 'Annotated Papers'!A:A,A370)&gt;0,1,0))</f>
        <v/>
      </c>
      <c r="I370" s="24" t="str">
        <f>IF(ISBLANK(A370), "", VLOOKUP(A370,'Annotated Papers'!371:1410,4,FALSE))</f>
        <v/>
      </c>
    </row>
    <row r="371" spans="1:9" ht="14">
      <c r="A371" s="25"/>
      <c r="B371" t="str">
        <f>IF(ISBLANK(A371), "", VLOOKUP(A371,'Annotated Papers'!372:1411,2,FALSE))</f>
        <v/>
      </c>
      <c r="C371" s="24" t="str">
        <f>IF(ISBLANK(A371), "", VLOOKUP(A371,'Annotated Papers'!372:1411,5,FALSE))</f>
        <v/>
      </c>
      <c r="D371" t="str">
        <f>IF(ISBLANK(A371), "", IF(COUNTIF('Annotated Papers'!A:A,A371)&gt;1,1,0))</f>
        <v/>
      </c>
      <c r="E371" t="str">
        <f>IF(ISBLANK(A371), "", IF(SUMIFS('Annotated Papers'!G:G, 'Annotated Papers'!A:A,A371)&gt;0,1,0))</f>
        <v/>
      </c>
      <c r="F371" t="str">
        <f>IF(ISBLANK(A371), "", IF(SUMIFS('Annotated Papers'!H:H, 'Annotated Papers'!A:A,A371)&gt;0,1,0))</f>
        <v/>
      </c>
      <c r="G371" t="str">
        <f>IF(ISBLANK(A371), "", IF(SUMIFS('Annotated Papers'!I:I, 'Annotated Papers'!A:A,A371)&gt;0,1,0))</f>
        <v/>
      </c>
      <c r="H371" t="str">
        <f>IF(ISBLANK(A371), "", IF(SUMIFS('Annotated Papers'!L:L, 'Annotated Papers'!A:A,A371)&gt;0,1,0))</f>
        <v/>
      </c>
      <c r="I371" s="24" t="str">
        <f>IF(ISBLANK(A371), "", VLOOKUP(A371,'Annotated Papers'!372:1411,4,FALSE))</f>
        <v/>
      </c>
    </row>
    <row r="372" spans="1:9" ht="14">
      <c r="A372" s="25"/>
      <c r="B372" t="str">
        <f>IF(ISBLANK(A372), "", VLOOKUP(A372,'Annotated Papers'!373:1412,2,FALSE))</f>
        <v/>
      </c>
      <c r="C372" s="24" t="str">
        <f>IF(ISBLANK(A372), "", VLOOKUP(A372,'Annotated Papers'!373:1412,5,FALSE))</f>
        <v/>
      </c>
      <c r="D372" t="str">
        <f>IF(ISBLANK(A372), "", IF(COUNTIF('Annotated Papers'!A:A,A372)&gt;1,1,0))</f>
        <v/>
      </c>
      <c r="E372" t="str">
        <f>IF(ISBLANK(A372), "", IF(SUMIFS('Annotated Papers'!G:G, 'Annotated Papers'!A:A,A372)&gt;0,1,0))</f>
        <v/>
      </c>
      <c r="F372" t="str">
        <f>IF(ISBLANK(A372), "", IF(SUMIFS('Annotated Papers'!H:H, 'Annotated Papers'!A:A,A372)&gt;0,1,0))</f>
        <v/>
      </c>
      <c r="G372" t="str">
        <f>IF(ISBLANK(A372), "", IF(SUMIFS('Annotated Papers'!I:I, 'Annotated Papers'!A:A,A372)&gt;0,1,0))</f>
        <v/>
      </c>
      <c r="H372" t="str">
        <f>IF(ISBLANK(A372), "", IF(SUMIFS('Annotated Papers'!L:L, 'Annotated Papers'!A:A,A372)&gt;0,1,0))</f>
        <v/>
      </c>
      <c r="I372" s="24" t="str">
        <f>IF(ISBLANK(A372), "", VLOOKUP(A372,'Annotated Papers'!373:1412,4,FALSE))</f>
        <v/>
      </c>
    </row>
    <row r="373" spans="1:9" ht="14">
      <c r="A373" s="25"/>
      <c r="B373" t="str">
        <f>IF(ISBLANK(A373), "", VLOOKUP(A373,'Annotated Papers'!374:1413,2,FALSE))</f>
        <v/>
      </c>
      <c r="C373" s="24" t="str">
        <f>IF(ISBLANK(A373), "", VLOOKUP(A373,'Annotated Papers'!374:1413,5,FALSE))</f>
        <v/>
      </c>
      <c r="D373" t="str">
        <f>IF(ISBLANK(A373), "", IF(COUNTIF('Annotated Papers'!A:A,A373)&gt;1,1,0))</f>
        <v/>
      </c>
      <c r="E373" t="str">
        <f>IF(ISBLANK(A373), "", IF(SUMIFS('Annotated Papers'!G:G, 'Annotated Papers'!A:A,A373)&gt;0,1,0))</f>
        <v/>
      </c>
      <c r="F373" t="str">
        <f>IF(ISBLANK(A373), "", IF(SUMIFS('Annotated Papers'!H:H, 'Annotated Papers'!A:A,A373)&gt;0,1,0))</f>
        <v/>
      </c>
      <c r="G373" t="str">
        <f>IF(ISBLANK(A373), "", IF(SUMIFS('Annotated Papers'!I:I, 'Annotated Papers'!A:A,A373)&gt;0,1,0))</f>
        <v/>
      </c>
      <c r="H373" t="str">
        <f>IF(ISBLANK(A373), "", IF(SUMIFS('Annotated Papers'!L:L, 'Annotated Papers'!A:A,A373)&gt;0,1,0))</f>
        <v/>
      </c>
      <c r="I373" s="24" t="str">
        <f>IF(ISBLANK(A373), "", VLOOKUP(A373,'Annotated Papers'!374:1413,4,FALSE))</f>
        <v/>
      </c>
    </row>
    <row r="374" spans="1:9" ht="14">
      <c r="A374" s="25"/>
      <c r="B374" t="str">
        <f>IF(ISBLANK(A374), "", VLOOKUP(A374,'Annotated Papers'!375:1414,2,FALSE))</f>
        <v/>
      </c>
      <c r="C374" s="24" t="str">
        <f>IF(ISBLANK(A374), "", VLOOKUP(A374,'Annotated Papers'!375:1414,5,FALSE))</f>
        <v/>
      </c>
      <c r="D374" t="str">
        <f>IF(ISBLANK(A374), "", IF(COUNTIF('Annotated Papers'!A:A,A374)&gt;1,1,0))</f>
        <v/>
      </c>
      <c r="E374" t="str">
        <f>IF(ISBLANK(A374), "", IF(SUMIFS('Annotated Papers'!G:G, 'Annotated Papers'!A:A,A374)&gt;0,1,0))</f>
        <v/>
      </c>
      <c r="F374" t="str">
        <f>IF(ISBLANK(A374), "", IF(SUMIFS('Annotated Papers'!H:H, 'Annotated Papers'!A:A,A374)&gt;0,1,0))</f>
        <v/>
      </c>
      <c r="G374" t="str">
        <f>IF(ISBLANK(A374), "", IF(SUMIFS('Annotated Papers'!I:I, 'Annotated Papers'!A:A,A374)&gt;0,1,0))</f>
        <v/>
      </c>
      <c r="H374" t="str">
        <f>IF(ISBLANK(A374), "", IF(SUMIFS('Annotated Papers'!L:L, 'Annotated Papers'!A:A,A374)&gt;0,1,0))</f>
        <v/>
      </c>
      <c r="I374" s="24" t="str">
        <f>IF(ISBLANK(A374), "", VLOOKUP(A374,'Annotated Papers'!375:1414,4,FALSE))</f>
        <v/>
      </c>
    </row>
    <row r="375" spans="1:9" ht="14">
      <c r="A375" s="25"/>
      <c r="B375" t="str">
        <f>IF(ISBLANK(A375), "", VLOOKUP(A375,'Annotated Papers'!376:1415,2,FALSE))</f>
        <v/>
      </c>
      <c r="C375" s="24" t="str">
        <f>IF(ISBLANK(A375), "", VLOOKUP(A375,'Annotated Papers'!376:1415,5,FALSE))</f>
        <v/>
      </c>
      <c r="D375" t="str">
        <f>IF(ISBLANK(A375), "", IF(COUNTIF('Annotated Papers'!A:A,A375)&gt;1,1,0))</f>
        <v/>
      </c>
      <c r="E375" t="str">
        <f>IF(ISBLANK(A375), "", IF(SUMIFS('Annotated Papers'!G:G, 'Annotated Papers'!A:A,A375)&gt;0,1,0))</f>
        <v/>
      </c>
      <c r="F375" t="str">
        <f>IF(ISBLANK(A375), "", IF(SUMIFS('Annotated Papers'!H:H, 'Annotated Papers'!A:A,A375)&gt;0,1,0))</f>
        <v/>
      </c>
      <c r="G375" t="str">
        <f>IF(ISBLANK(A375), "", IF(SUMIFS('Annotated Papers'!I:I, 'Annotated Papers'!A:A,A375)&gt;0,1,0))</f>
        <v/>
      </c>
      <c r="H375" t="str">
        <f>IF(ISBLANK(A375), "", IF(SUMIFS('Annotated Papers'!L:L, 'Annotated Papers'!A:A,A375)&gt;0,1,0))</f>
        <v/>
      </c>
      <c r="I375" s="24" t="str">
        <f>IF(ISBLANK(A375), "", VLOOKUP(A375,'Annotated Papers'!376:1415,4,FALSE))</f>
        <v/>
      </c>
    </row>
    <row r="376" spans="1:9" ht="14">
      <c r="A376" s="25"/>
      <c r="B376" t="str">
        <f>IF(ISBLANK(A376), "", VLOOKUP(A376,'Annotated Papers'!377:1416,2,FALSE))</f>
        <v/>
      </c>
      <c r="C376" s="24" t="str">
        <f>IF(ISBLANK(A376), "", VLOOKUP(A376,'Annotated Papers'!377:1416,5,FALSE))</f>
        <v/>
      </c>
      <c r="D376" t="str">
        <f>IF(ISBLANK(A376), "", IF(COUNTIF('Annotated Papers'!A:A,A376)&gt;1,1,0))</f>
        <v/>
      </c>
      <c r="E376" t="str">
        <f>IF(ISBLANK(A376), "", IF(SUMIFS('Annotated Papers'!G:G, 'Annotated Papers'!A:A,A376)&gt;0,1,0))</f>
        <v/>
      </c>
      <c r="F376" t="str">
        <f>IF(ISBLANK(A376), "", IF(SUMIFS('Annotated Papers'!H:H, 'Annotated Papers'!A:A,A376)&gt;0,1,0))</f>
        <v/>
      </c>
      <c r="G376" t="str">
        <f>IF(ISBLANK(A376), "", IF(SUMIFS('Annotated Papers'!I:I, 'Annotated Papers'!A:A,A376)&gt;0,1,0))</f>
        <v/>
      </c>
      <c r="H376" t="str">
        <f>IF(ISBLANK(A376), "", IF(SUMIFS('Annotated Papers'!L:L, 'Annotated Papers'!A:A,A376)&gt;0,1,0))</f>
        <v/>
      </c>
      <c r="I376" s="24" t="str">
        <f>IF(ISBLANK(A376), "", VLOOKUP(A376,'Annotated Papers'!377:1416,4,FALSE))</f>
        <v/>
      </c>
    </row>
    <row r="377" spans="1:9" ht="14">
      <c r="A377" s="25"/>
      <c r="B377" t="str">
        <f>IF(ISBLANK(A377), "", VLOOKUP(A377,'Annotated Papers'!378:1417,2,FALSE))</f>
        <v/>
      </c>
      <c r="C377" s="24" t="str">
        <f>IF(ISBLANK(A377), "", VLOOKUP(A377,'Annotated Papers'!378:1417,5,FALSE))</f>
        <v/>
      </c>
      <c r="D377" t="str">
        <f>IF(ISBLANK(A377), "", IF(COUNTIF('Annotated Papers'!A:A,A377)&gt;1,1,0))</f>
        <v/>
      </c>
      <c r="E377" t="str">
        <f>IF(ISBLANK(A377), "", IF(SUMIFS('Annotated Papers'!G:G, 'Annotated Papers'!A:A,A377)&gt;0,1,0))</f>
        <v/>
      </c>
      <c r="F377" t="str">
        <f>IF(ISBLANK(A377), "", IF(SUMIFS('Annotated Papers'!H:H, 'Annotated Papers'!A:A,A377)&gt;0,1,0))</f>
        <v/>
      </c>
      <c r="G377" t="str">
        <f>IF(ISBLANK(A377), "", IF(SUMIFS('Annotated Papers'!I:I, 'Annotated Papers'!A:A,A377)&gt;0,1,0))</f>
        <v/>
      </c>
      <c r="H377" t="str">
        <f>IF(ISBLANK(A377), "", IF(SUMIFS('Annotated Papers'!L:L, 'Annotated Papers'!A:A,A377)&gt;0,1,0))</f>
        <v/>
      </c>
      <c r="I377" s="24" t="str">
        <f>IF(ISBLANK(A377), "", VLOOKUP(A377,'Annotated Papers'!378:1417,4,FALSE))</f>
        <v/>
      </c>
    </row>
    <row r="378" spans="1:9" ht="14">
      <c r="A378" s="25"/>
      <c r="B378" t="str">
        <f>IF(ISBLANK(A378), "", VLOOKUP(A378,'Annotated Papers'!379:1418,2,FALSE))</f>
        <v/>
      </c>
      <c r="C378" s="24" t="str">
        <f>IF(ISBLANK(A378), "", VLOOKUP(A378,'Annotated Papers'!379:1418,5,FALSE))</f>
        <v/>
      </c>
      <c r="D378" t="str">
        <f>IF(ISBLANK(A378), "", IF(COUNTIF('Annotated Papers'!A:A,A378)&gt;1,1,0))</f>
        <v/>
      </c>
      <c r="E378" t="str">
        <f>IF(ISBLANK(A378), "", IF(SUMIFS('Annotated Papers'!G:G, 'Annotated Papers'!A:A,A378)&gt;0,1,0))</f>
        <v/>
      </c>
      <c r="F378" t="str">
        <f>IF(ISBLANK(A378), "", IF(SUMIFS('Annotated Papers'!H:H, 'Annotated Papers'!A:A,A378)&gt;0,1,0))</f>
        <v/>
      </c>
      <c r="G378" t="str">
        <f>IF(ISBLANK(A378), "", IF(SUMIFS('Annotated Papers'!I:I, 'Annotated Papers'!A:A,A378)&gt;0,1,0))</f>
        <v/>
      </c>
      <c r="H378" t="str">
        <f>IF(ISBLANK(A378), "", IF(SUMIFS('Annotated Papers'!L:L, 'Annotated Papers'!A:A,A378)&gt;0,1,0))</f>
        <v/>
      </c>
      <c r="I378" s="24" t="str">
        <f>IF(ISBLANK(A378), "", VLOOKUP(A378,'Annotated Papers'!379:1418,4,FALSE))</f>
        <v/>
      </c>
    </row>
    <row r="379" spans="1:9" ht="14">
      <c r="A379" s="25"/>
      <c r="B379" t="str">
        <f>IF(ISBLANK(A379), "", VLOOKUP(A379,'Annotated Papers'!380:1419,2,FALSE))</f>
        <v/>
      </c>
      <c r="C379" s="24" t="str">
        <f>IF(ISBLANK(A379), "", VLOOKUP(A379,'Annotated Papers'!380:1419,5,FALSE))</f>
        <v/>
      </c>
      <c r="D379" t="str">
        <f>IF(ISBLANK(A379), "", IF(COUNTIF('Annotated Papers'!A:A,A379)&gt;1,1,0))</f>
        <v/>
      </c>
      <c r="E379" t="str">
        <f>IF(ISBLANK(A379), "", IF(SUMIFS('Annotated Papers'!G:G, 'Annotated Papers'!A:A,A379)&gt;0,1,0))</f>
        <v/>
      </c>
      <c r="F379" t="str">
        <f>IF(ISBLANK(A379), "", IF(SUMIFS('Annotated Papers'!H:H, 'Annotated Papers'!A:A,A379)&gt;0,1,0))</f>
        <v/>
      </c>
      <c r="G379" t="str">
        <f>IF(ISBLANK(A379), "", IF(SUMIFS('Annotated Papers'!I:I, 'Annotated Papers'!A:A,A379)&gt;0,1,0))</f>
        <v/>
      </c>
      <c r="H379" t="str">
        <f>IF(ISBLANK(A379), "", IF(SUMIFS('Annotated Papers'!L:L, 'Annotated Papers'!A:A,A379)&gt;0,1,0))</f>
        <v/>
      </c>
      <c r="I379" s="24" t="str">
        <f>IF(ISBLANK(A379), "", VLOOKUP(A379,'Annotated Papers'!380:1419,4,FALSE))</f>
        <v/>
      </c>
    </row>
    <row r="380" spans="1:9" ht="14">
      <c r="A380" s="25"/>
      <c r="C380" s="24"/>
    </row>
    <row r="381" spans="1:9" ht="14">
      <c r="A381" s="25"/>
      <c r="C381" s="24"/>
    </row>
    <row r="382" spans="1:9" ht="14">
      <c r="A382" s="25"/>
      <c r="C382" s="24"/>
    </row>
    <row r="383" spans="1:9" ht="14">
      <c r="A383" s="25"/>
      <c r="C383" s="24"/>
    </row>
    <row r="384" spans="1:9" ht="14">
      <c r="A384" s="25"/>
      <c r="C384" s="24"/>
    </row>
    <row r="385" spans="1:3" ht="14">
      <c r="A385" s="25"/>
      <c r="C385" s="24"/>
    </row>
    <row r="386" spans="1:3" ht="14">
      <c r="A386" s="25"/>
      <c r="C386" s="24"/>
    </row>
    <row r="387" spans="1:3" ht="14">
      <c r="A387" s="25"/>
      <c r="C387" s="24"/>
    </row>
    <row r="388" spans="1:3" ht="14">
      <c r="A388" s="25"/>
      <c r="C388" s="24"/>
    </row>
    <row r="389" spans="1:3" ht="14">
      <c r="A389" s="25"/>
      <c r="C389" s="24"/>
    </row>
    <row r="390" spans="1:3" ht="14">
      <c r="A390" s="25"/>
      <c r="C390" s="24"/>
    </row>
    <row r="391" spans="1:3" ht="14">
      <c r="A391" s="25"/>
      <c r="C391" s="24"/>
    </row>
    <row r="392" spans="1:3" ht="14">
      <c r="A392" s="25"/>
      <c r="C392" s="24"/>
    </row>
    <row r="393" spans="1:3" ht="14">
      <c r="A393" s="25"/>
      <c r="C393" s="24"/>
    </row>
    <row r="394" spans="1:3" ht="14">
      <c r="A394" s="25"/>
      <c r="C394" s="24"/>
    </row>
    <row r="395" spans="1:3" ht="14">
      <c r="A395" s="25"/>
      <c r="C395" s="24"/>
    </row>
    <row r="396" spans="1:3" ht="14">
      <c r="A396" s="25"/>
      <c r="C396" s="24"/>
    </row>
    <row r="397" spans="1:3" ht="14">
      <c r="A397" s="25"/>
      <c r="C397" s="24"/>
    </row>
    <row r="398" spans="1:3" ht="14">
      <c r="A398" s="25"/>
      <c r="C398" s="24"/>
    </row>
    <row r="399" spans="1:3" ht="14">
      <c r="A399" s="25"/>
      <c r="C399" s="24"/>
    </row>
    <row r="400" spans="1:3" ht="14">
      <c r="A400" s="25"/>
      <c r="C400" s="24"/>
    </row>
    <row r="401" spans="1:3" ht="14">
      <c r="A401" s="25"/>
      <c r="C401" s="24"/>
    </row>
    <row r="402" spans="1:3" ht="14">
      <c r="A402" s="25"/>
      <c r="C402" s="24"/>
    </row>
    <row r="403" spans="1:3" ht="14">
      <c r="A403" s="25"/>
      <c r="C403" s="24"/>
    </row>
    <row r="404" spans="1:3" ht="14">
      <c r="A404" s="25"/>
      <c r="C404" s="24"/>
    </row>
    <row r="405" spans="1:3" ht="14">
      <c r="A405" s="25"/>
      <c r="C405" s="24"/>
    </row>
    <row r="406" spans="1:3" ht="14">
      <c r="A406" s="25"/>
      <c r="C406" s="24"/>
    </row>
    <row r="407" spans="1:3" ht="14">
      <c r="A407" s="25"/>
      <c r="C407" s="24"/>
    </row>
    <row r="408" spans="1:3" ht="14">
      <c r="A408" s="25"/>
      <c r="C408" s="24"/>
    </row>
    <row r="409" spans="1:3" ht="14">
      <c r="A409" s="25"/>
      <c r="C409" s="24"/>
    </row>
    <row r="410" spans="1:3" ht="14">
      <c r="A410" s="25"/>
      <c r="C410" s="24"/>
    </row>
    <row r="411" spans="1:3" ht="14">
      <c r="A411" s="25"/>
      <c r="C411" s="24"/>
    </row>
    <row r="412" spans="1:3" ht="14">
      <c r="A412" s="25"/>
      <c r="C412" s="24"/>
    </row>
    <row r="413" spans="1:3" ht="14">
      <c r="A413" s="25"/>
      <c r="C413" s="24"/>
    </row>
    <row r="414" spans="1:3" ht="14">
      <c r="A414" s="25"/>
      <c r="C414" s="24"/>
    </row>
    <row r="415" spans="1:3" ht="14">
      <c r="A415" s="25"/>
      <c r="C415" s="24"/>
    </row>
    <row r="416" spans="1:3" ht="14">
      <c r="A416" s="25"/>
      <c r="C416" s="24"/>
    </row>
    <row r="417" spans="1:3" ht="14">
      <c r="A417" s="25"/>
      <c r="C417" s="24"/>
    </row>
    <row r="418" spans="1:3" ht="14">
      <c r="A418" s="25"/>
      <c r="C418" s="24"/>
    </row>
    <row r="419" spans="1:3" ht="14">
      <c r="A419" s="25"/>
      <c r="C419" s="24"/>
    </row>
    <row r="420" spans="1:3" ht="14">
      <c r="A420" s="25"/>
      <c r="C420" s="24"/>
    </row>
    <row r="421" spans="1:3" ht="14">
      <c r="A421" s="25"/>
      <c r="C421" s="24"/>
    </row>
    <row r="422" spans="1:3" ht="14">
      <c r="A422" s="25"/>
      <c r="C422" s="24"/>
    </row>
    <row r="423" spans="1:3" ht="14">
      <c r="A423" s="25"/>
      <c r="C423" s="24"/>
    </row>
    <row r="424" spans="1:3" ht="14">
      <c r="A424" s="25"/>
      <c r="C424" s="24"/>
    </row>
    <row r="425" spans="1:3" ht="14">
      <c r="A425" s="25"/>
      <c r="C425" s="24"/>
    </row>
    <row r="426" spans="1:3" ht="14">
      <c r="A426" s="25"/>
      <c r="C426" s="24"/>
    </row>
    <row r="427" spans="1:3" ht="14">
      <c r="A427" s="25"/>
      <c r="C427" s="24"/>
    </row>
    <row r="428" spans="1:3" ht="14">
      <c r="A428" s="25"/>
      <c r="C428" s="24"/>
    </row>
    <row r="429" spans="1:3" ht="14">
      <c r="A429" s="25"/>
      <c r="C429" s="24"/>
    </row>
    <row r="430" spans="1:3" ht="14">
      <c r="A430" s="25"/>
      <c r="C430" s="24"/>
    </row>
    <row r="431" spans="1:3" ht="14">
      <c r="A431" s="25"/>
      <c r="C431" s="24"/>
    </row>
    <row r="432" spans="1:3" ht="14">
      <c r="A432" s="25"/>
      <c r="C432" s="24"/>
    </row>
    <row r="433" spans="1:3" ht="14">
      <c r="A433" s="25"/>
      <c r="C433" s="24"/>
    </row>
    <row r="434" spans="1:3" ht="14">
      <c r="A434" s="25"/>
      <c r="C434" s="24"/>
    </row>
    <row r="435" spans="1:3" ht="14">
      <c r="A435" s="25"/>
      <c r="C435" s="24"/>
    </row>
    <row r="436" spans="1:3" ht="14">
      <c r="A436" s="25"/>
      <c r="C436" s="24"/>
    </row>
    <row r="437" spans="1:3" ht="14">
      <c r="A437" s="25"/>
      <c r="C437" s="24"/>
    </row>
    <row r="438" spans="1:3" ht="14">
      <c r="A438" s="25"/>
      <c r="C438" s="24"/>
    </row>
    <row r="439" spans="1:3" ht="14">
      <c r="A439" s="25"/>
      <c r="C439" s="24"/>
    </row>
    <row r="440" spans="1:3" ht="14">
      <c r="A440" s="25"/>
      <c r="C440" s="24"/>
    </row>
    <row r="441" spans="1:3" ht="14">
      <c r="A441" s="25"/>
      <c r="C441" s="24"/>
    </row>
    <row r="442" spans="1:3" ht="14">
      <c r="A442" s="25"/>
      <c r="C442" s="24"/>
    </row>
    <row r="443" spans="1:3" ht="14">
      <c r="A443" s="25"/>
      <c r="C443" s="24"/>
    </row>
    <row r="444" spans="1:3" ht="14">
      <c r="A444" s="25"/>
      <c r="C444" s="24"/>
    </row>
    <row r="445" spans="1:3" ht="14">
      <c r="A445" s="25"/>
      <c r="C445" s="24"/>
    </row>
    <row r="446" spans="1:3" ht="14">
      <c r="A446" s="25"/>
      <c r="C446" s="24"/>
    </row>
    <row r="447" spans="1:3" ht="14">
      <c r="A447" s="25"/>
      <c r="C447" s="24"/>
    </row>
    <row r="448" spans="1:3" ht="14">
      <c r="A448" s="25"/>
      <c r="C448" s="24"/>
    </row>
    <row r="449" spans="1:3" ht="14">
      <c r="A449" s="25"/>
      <c r="C449" s="24"/>
    </row>
    <row r="450" spans="1:3" ht="14">
      <c r="A450" s="25"/>
      <c r="C450" s="24"/>
    </row>
    <row r="451" spans="1:3" ht="14">
      <c r="A451" s="25"/>
      <c r="C451" s="24"/>
    </row>
    <row r="452" spans="1:3" ht="14">
      <c r="A452" s="25"/>
      <c r="C452" s="24"/>
    </row>
    <row r="453" spans="1:3" ht="14">
      <c r="A453" s="25"/>
      <c r="C453" s="24"/>
    </row>
    <row r="454" spans="1:3" ht="14">
      <c r="A454" s="25"/>
      <c r="C454" s="24"/>
    </row>
    <row r="455" spans="1:3" ht="14">
      <c r="A455" s="25"/>
      <c r="C455" s="24"/>
    </row>
    <row r="456" spans="1:3" ht="14">
      <c r="A456" s="25"/>
      <c r="C456" s="24"/>
    </row>
    <row r="457" spans="1:3" ht="14">
      <c r="A457" s="25"/>
      <c r="C457" s="24"/>
    </row>
    <row r="458" spans="1:3" ht="14">
      <c r="A458" s="25"/>
      <c r="C458" s="24"/>
    </row>
    <row r="459" spans="1:3" ht="14">
      <c r="A459" s="25"/>
      <c r="C459" s="24"/>
    </row>
    <row r="460" spans="1:3" ht="14">
      <c r="A460" s="25"/>
      <c r="C460" s="24"/>
    </row>
    <row r="461" spans="1:3" ht="14">
      <c r="A461" s="25"/>
      <c r="C461" s="24"/>
    </row>
    <row r="462" spans="1:3" ht="14">
      <c r="A462" s="25"/>
      <c r="C462" s="24"/>
    </row>
    <row r="463" spans="1:3" ht="14">
      <c r="A463" s="25"/>
      <c r="C463" s="24"/>
    </row>
    <row r="464" spans="1:3" ht="14">
      <c r="A464" s="25"/>
      <c r="C464" s="24"/>
    </row>
    <row r="465" spans="1:3" ht="14">
      <c r="A465" s="25"/>
      <c r="C465" s="24"/>
    </row>
    <row r="466" spans="1:3" ht="14">
      <c r="A466" s="25"/>
      <c r="C466" s="24"/>
    </row>
    <row r="467" spans="1:3" ht="14">
      <c r="A467" s="25"/>
      <c r="C467" s="24"/>
    </row>
    <row r="468" spans="1:3" ht="14">
      <c r="A468" s="25"/>
      <c r="C468" s="24"/>
    </row>
    <row r="469" spans="1:3" ht="14">
      <c r="A469" s="25"/>
      <c r="C469" s="24"/>
    </row>
    <row r="470" spans="1:3" ht="14">
      <c r="A470" s="25"/>
      <c r="C470" s="24"/>
    </row>
    <row r="471" spans="1:3" ht="14">
      <c r="A471" s="25"/>
      <c r="C471" s="24"/>
    </row>
    <row r="472" spans="1:3" ht="14">
      <c r="A472" s="25"/>
      <c r="C472" s="24"/>
    </row>
    <row r="473" spans="1:3" ht="14">
      <c r="A473" s="25"/>
      <c r="C473" s="24"/>
    </row>
    <row r="474" spans="1:3" ht="14">
      <c r="A474" s="25"/>
      <c r="C474" s="24"/>
    </row>
    <row r="475" spans="1:3" ht="14">
      <c r="A475" s="25"/>
      <c r="C475" s="24"/>
    </row>
    <row r="476" spans="1:3" ht="14">
      <c r="A476" s="25"/>
      <c r="C476" s="24"/>
    </row>
    <row r="477" spans="1:3" ht="14">
      <c r="A477" s="25"/>
      <c r="C477" s="24"/>
    </row>
    <row r="478" spans="1:3" ht="14">
      <c r="A478" s="25"/>
      <c r="C478" s="24"/>
    </row>
    <row r="479" spans="1:3" ht="14">
      <c r="A479" s="25"/>
      <c r="C479" s="24"/>
    </row>
    <row r="480" spans="1:3" ht="14">
      <c r="A480" s="25"/>
      <c r="C480" s="24"/>
    </row>
    <row r="481" spans="1:3" ht="14">
      <c r="A481" s="25"/>
      <c r="C481" s="24"/>
    </row>
    <row r="482" spans="1:3" ht="14">
      <c r="A482" s="25"/>
      <c r="C482" s="24"/>
    </row>
    <row r="483" spans="1:3" ht="14">
      <c r="A483" s="25"/>
      <c r="C483" s="24"/>
    </row>
    <row r="484" spans="1:3" ht="14">
      <c r="A484" s="25"/>
      <c r="C484" s="24"/>
    </row>
    <row r="485" spans="1:3" ht="14">
      <c r="A485" s="25"/>
      <c r="C485" s="24"/>
    </row>
    <row r="486" spans="1:3" ht="14">
      <c r="A486" s="25"/>
      <c r="C486" s="24"/>
    </row>
    <row r="487" spans="1:3" ht="14">
      <c r="A487" s="25"/>
      <c r="C487" s="24"/>
    </row>
    <row r="488" spans="1:3" ht="14">
      <c r="A488" s="25"/>
      <c r="C488" s="24"/>
    </row>
    <row r="489" spans="1:3" ht="14">
      <c r="A489" s="25"/>
      <c r="C489" s="24"/>
    </row>
    <row r="490" spans="1:3" ht="14">
      <c r="A490" s="25"/>
      <c r="C490" s="24"/>
    </row>
    <row r="491" spans="1:3" ht="14">
      <c r="A491" s="25"/>
      <c r="C491" s="24"/>
    </row>
    <row r="492" spans="1:3" ht="14">
      <c r="A492" s="25"/>
      <c r="C492" s="24"/>
    </row>
    <row r="493" spans="1:3" ht="14">
      <c r="A493" s="25"/>
      <c r="C493" s="24"/>
    </row>
    <row r="494" spans="1:3" ht="14">
      <c r="A494" s="25"/>
      <c r="C494" s="24"/>
    </row>
    <row r="495" spans="1:3" ht="14">
      <c r="A495" s="25"/>
      <c r="C495" s="24"/>
    </row>
    <row r="496" spans="1:3" ht="14">
      <c r="A496" s="25"/>
      <c r="C496" s="24"/>
    </row>
    <row r="497" spans="1:3" ht="14">
      <c r="A497" s="25"/>
      <c r="C497" s="24"/>
    </row>
    <row r="498" spans="1:3" ht="14">
      <c r="A498" s="25"/>
      <c r="C498" s="24"/>
    </row>
    <row r="499" spans="1:3" ht="14">
      <c r="A499" s="25"/>
      <c r="C499" s="24"/>
    </row>
    <row r="500" spans="1:3" ht="14">
      <c r="A500" s="25"/>
      <c r="C500" s="24"/>
    </row>
    <row r="501" spans="1:3" ht="14">
      <c r="A501" s="25"/>
      <c r="C501" s="24"/>
    </row>
    <row r="502" spans="1:3" ht="14">
      <c r="A502" s="25"/>
      <c r="C502" s="24"/>
    </row>
    <row r="503" spans="1:3" ht="14">
      <c r="A503" s="25"/>
      <c r="C503" s="24"/>
    </row>
    <row r="504" spans="1:3" ht="14">
      <c r="A504" s="25"/>
      <c r="C504" s="24"/>
    </row>
    <row r="505" spans="1:3" ht="14">
      <c r="A505" s="25"/>
      <c r="C505" s="24"/>
    </row>
    <row r="506" spans="1:3" ht="14">
      <c r="A506" s="25"/>
      <c r="C506" s="24"/>
    </row>
    <row r="507" spans="1:3" ht="14">
      <c r="A507" s="25"/>
      <c r="C507" s="24"/>
    </row>
    <row r="508" spans="1:3" ht="14">
      <c r="A508" s="25"/>
      <c r="C508" s="24"/>
    </row>
    <row r="509" spans="1:3" ht="14">
      <c r="A509" s="25"/>
      <c r="C509" s="24"/>
    </row>
    <row r="510" spans="1:3" ht="14">
      <c r="A510" s="25"/>
      <c r="C510" s="24"/>
    </row>
    <row r="511" spans="1:3" ht="14">
      <c r="A511" s="25"/>
      <c r="C511" s="24"/>
    </row>
    <row r="512" spans="1:3" ht="14">
      <c r="A512" s="25"/>
      <c r="C512" s="24"/>
    </row>
    <row r="513" spans="1:3" ht="14">
      <c r="A513" s="25"/>
      <c r="C513" s="24"/>
    </row>
    <row r="514" spans="1:3" ht="14">
      <c r="A514" s="25"/>
      <c r="C514" s="24"/>
    </row>
    <row r="515" spans="1:3" ht="14">
      <c r="A515" s="25"/>
      <c r="C515" s="24"/>
    </row>
    <row r="516" spans="1:3" ht="14">
      <c r="A516" s="25"/>
      <c r="C516" s="24"/>
    </row>
    <row r="517" spans="1:3" ht="14">
      <c r="A517" s="25"/>
      <c r="C517" s="24"/>
    </row>
    <row r="518" spans="1:3" ht="14">
      <c r="A518" s="25"/>
      <c r="C518" s="24"/>
    </row>
    <row r="519" spans="1:3" ht="14">
      <c r="A519" s="25"/>
      <c r="C519" s="24"/>
    </row>
    <row r="520" spans="1:3" ht="14">
      <c r="A520" s="25"/>
      <c r="C520" s="24"/>
    </row>
    <row r="521" spans="1:3" ht="14">
      <c r="A521" s="25"/>
      <c r="C521" s="24"/>
    </row>
    <row r="522" spans="1:3" ht="14">
      <c r="A522" s="25"/>
      <c r="C522" s="24"/>
    </row>
    <row r="523" spans="1:3" ht="14">
      <c r="A523" s="25"/>
      <c r="C523" s="24"/>
    </row>
    <row r="524" spans="1:3" ht="14">
      <c r="A524" s="25"/>
      <c r="C524" s="24"/>
    </row>
    <row r="525" spans="1:3" ht="14">
      <c r="A525" s="25"/>
      <c r="C525" s="24"/>
    </row>
    <row r="526" spans="1:3" ht="14">
      <c r="A526" s="25"/>
      <c r="C526" s="24"/>
    </row>
    <row r="527" spans="1:3" ht="14">
      <c r="A527" s="25"/>
      <c r="C527" s="24"/>
    </row>
    <row r="528" spans="1:3" ht="14">
      <c r="A528" s="25"/>
      <c r="C528" s="24"/>
    </row>
    <row r="529" spans="1:3" ht="14">
      <c r="A529" s="25"/>
      <c r="C529" s="24"/>
    </row>
    <row r="530" spans="1:3" ht="14">
      <c r="A530" s="25"/>
      <c r="C530" s="24"/>
    </row>
    <row r="531" spans="1:3" ht="14">
      <c r="A531" s="25"/>
      <c r="C531" s="24"/>
    </row>
    <row r="532" spans="1:3" ht="14">
      <c r="A532" s="25"/>
      <c r="C532" s="24"/>
    </row>
    <row r="533" spans="1:3" ht="14">
      <c r="A533" s="25"/>
      <c r="C533" s="24"/>
    </row>
    <row r="534" spans="1:3" ht="14">
      <c r="A534" s="25"/>
      <c r="C534" s="24"/>
    </row>
    <row r="535" spans="1:3" ht="14">
      <c r="A535" s="25"/>
      <c r="C535" s="24"/>
    </row>
    <row r="536" spans="1:3" ht="14">
      <c r="A536" s="25"/>
      <c r="C536" s="24"/>
    </row>
    <row r="537" spans="1:3" ht="14">
      <c r="A537" s="25"/>
      <c r="C537" s="24"/>
    </row>
    <row r="538" spans="1:3" ht="14">
      <c r="A538" s="25"/>
      <c r="C538" s="24"/>
    </row>
    <row r="539" spans="1:3" ht="14">
      <c r="A539" s="25"/>
      <c r="C539" s="24"/>
    </row>
    <row r="540" spans="1:3" ht="14">
      <c r="A540" s="25"/>
      <c r="C540" s="24"/>
    </row>
    <row r="541" spans="1:3" ht="14">
      <c r="A541" s="25"/>
      <c r="C541" s="24"/>
    </row>
    <row r="542" spans="1:3" ht="14">
      <c r="A542" s="25"/>
      <c r="C542" s="24"/>
    </row>
    <row r="543" spans="1:3" ht="14">
      <c r="A543" s="25"/>
      <c r="C543" s="24"/>
    </row>
    <row r="544" spans="1:3" ht="14">
      <c r="A544" s="25"/>
      <c r="C544" s="24"/>
    </row>
    <row r="545" spans="1:3" ht="14">
      <c r="A545" s="25"/>
      <c r="C545" s="24"/>
    </row>
    <row r="546" spans="1:3" ht="14">
      <c r="A546" s="25"/>
      <c r="C546" s="24"/>
    </row>
    <row r="547" spans="1:3" ht="14">
      <c r="A547" s="25"/>
      <c r="C547" s="24"/>
    </row>
    <row r="548" spans="1:3" ht="14">
      <c r="A548" s="25"/>
      <c r="C548" s="24"/>
    </row>
    <row r="549" spans="1:3" ht="14">
      <c r="A549" s="25"/>
      <c r="C549" s="24"/>
    </row>
    <row r="550" spans="1:3" ht="14">
      <c r="A550" s="25"/>
      <c r="C550" s="24"/>
    </row>
    <row r="551" spans="1:3" ht="14">
      <c r="A551" s="25"/>
      <c r="C551" s="24"/>
    </row>
    <row r="552" spans="1:3" ht="14">
      <c r="A552" s="25"/>
      <c r="C552" s="24"/>
    </row>
    <row r="553" spans="1:3" ht="14">
      <c r="A553" s="25"/>
      <c r="C553" s="24"/>
    </row>
    <row r="554" spans="1:3" ht="14">
      <c r="A554" s="25"/>
      <c r="C554" s="24"/>
    </row>
    <row r="555" spans="1:3" ht="14">
      <c r="A555" s="25"/>
      <c r="C555" s="24"/>
    </row>
    <row r="556" spans="1:3" ht="14">
      <c r="A556" s="25"/>
      <c r="C556" s="24"/>
    </row>
    <row r="557" spans="1:3" ht="14">
      <c r="A557" s="25"/>
      <c r="C557" s="24"/>
    </row>
    <row r="558" spans="1:3" ht="14">
      <c r="A558" s="25"/>
      <c r="C558" s="24"/>
    </row>
    <row r="559" spans="1:3" ht="14">
      <c r="A559" s="25"/>
      <c r="C559" s="24"/>
    </row>
    <row r="560" spans="1:3" ht="14">
      <c r="A560" s="25"/>
      <c r="C560" s="24"/>
    </row>
    <row r="561" spans="1:3" ht="14">
      <c r="A561" s="25"/>
      <c r="C561" s="24"/>
    </row>
    <row r="562" spans="1:3" ht="14">
      <c r="A562" s="25"/>
      <c r="C562" s="24"/>
    </row>
    <row r="563" spans="1:3" ht="14">
      <c r="A563" s="25"/>
      <c r="C563" s="24"/>
    </row>
    <row r="564" spans="1:3" ht="14">
      <c r="A564" s="25"/>
      <c r="C564" s="24"/>
    </row>
    <row r="565" spans="1:3" ht="14">
      <c r="A565" s="25"/>
      <c r="C565" s="24"/>
    </row>
    <row r="566" spans="1:3" ht="14">
      <c r="A566" s="25"/>
      <c r="C566" s="24"/>
    </row>
    <row r="567" spans="1:3" ht="14">
      <c r="A567" s="25"/>
      <c r="C567" s="24"/>
    </row>
    <row r="568" spans="1:3" ht="14">
      <c r="A568" s="25"/>
      <c r="C568" s="24"/>
    </row>
    <row r="569" spans="1:3" ht="14">
      <c r="A569" s="25"/>
      <c r="C569" s="24"/>
    </row>
    <row r="570" spans="1:3" ht="14">
      <c r="A570" s="25"/>
      <c r="C570" s="24"/>
    </row>
    <row r="571" spans="1:3" ht="14">
      <c r="A571" s="25"/>
      <c r="C571" s="24"/>
    </row>
    <row r="572" spans="1:3" ht="14">
      <c r="A572" s="25"/>
      <c r="C572" s="24"/>
    </row>
    <row r="573" spans="1:3" ht="14">
      <c r="A573" s="25"/>
      <c r="C573" s="24"/>
    </row>
    <row r="574" spans="1:3" ht="14">
      <c r="A574" s="25"/>
      <c r="C574" s="24"/>
    </row>
    <row r="575" spans="1:3" ht="14">
      <c r="A575" s="25"/>
      <c r="C575" s="24"/>
    </row>
    <row r="576" spans="1:3" ht="14">
      <c r="A576" s="25"/>
      <c r="C576" s="24"/>
    </row>
    <row r="577" spans="1:3" ht="14">
      <c r="A577" s="25"/>
      <c r="C577" s="24"/>
    </row>
    <row r="578" spans="1:3" ht="14">
      <c r="A578" s="25"/>
      <c r="C578" s="24"/>
    </row>
    <row r="579" spans="1:3" ht="14">
      <c r="A579" s="25"/>
      <c r="C579" s="24"/>
    </row>
    <row r="580" spans="1:3" ht="14">
      <c r="A580" s="25"/>
      <c r="C580" s="24"/>
    </row>
    <row r="581" spans="1:3" ht="14">
      <c r="A581" s="25"/>
      <c r="C581" s="24"/>
    </row>
    <row r="582" spans="1:3" ht="14">
      <c r="A582" s="25"/>
      <c r="C582" s="24"/>
    </row>
    <row r="583" spans="1:3" ht="14">
      <c r="A583" s="25"/>
      <c r="C583" s="24"/>
    </row>
    <row r="584" spans="1:3" ht="14">
      <c r="A584" s="25"/>
      <c r="C584" s="24"/>
    </row>
    <row r="585" spans="1:3" ht="14">
      <c r="A585" s="25"/>
      <c r="C585" s="24"/>
    </row>
    <row r="586" spans="1:3" ht="14">
      <c r="A586" s="25"/>
      <c r="C586" s="24"/>
    </row>
    <row r="587" spans="1:3" ht="14">
      <c r="A587" s="25"/>
      <c r="C587" s="24"/>
    </row>
    <row r="588" spans="1:3" ht="14">
      <c r="A588" s="25"/>
      <c r="C588" s="24"/>
    </row>
    <row r="589" spans="1:3" ht="14">
      <c r="A589" s="25"/>
      <c r="C589" s="24"/>
    </row>
    <row r="590" spans="1:3" ht="14">
      <c r="A590" s="25"/>
      <c r="C590" s="24"/>
    </row>
    <row r="591" spans="1:3" ht="14">
      <c r="A591" s="25"/>
      <c r="C591" s="24"/>
    </row>
    <row r="592" spans="1:3" ht="14">
      <c r="A592" s="25"/>
      <c r="C592" s="24"/>
    </row>
    <row r="593" spans="1:3" ht="14">
      <c r="A593" s="25"/>
      <c r="C593" s="24"/>
    </row>
    <row r="594" spans="1:3" ht="14">
      <c r="A594" s="25"/>
      <c r="C594" s="24"/>
    </row>
    <row r="595" spans="1:3" ht="14">
      <c r="A595" s="25"/>
      <c r="C595" s="24"/>
    </row>
    <row r="596" spans="1:3" ht="14">
      <c r="A596" s="25"/>
      <c r="C596" s="24"/>
    </row>
    <row r="597" spans="1:3" ht="14">
      <c r="A597" s="25"/>
      <c r="C597" s="24"/>
    </row>
    <row r="598" spans="1:3" ht="14">
      <c r="A598" s="25"/>
      <c r="C598" s="24"/>
    </row>
    <row r="599" spans="1:3" ht="14">
      <c r="A599" s="25"/>
      <c r="C599" s="24"/>
    </row>
    <row r="600" spans="1:3" ht="14">
      <c r="A600" s="25"/>
      <c r="C600" s="24"/>
    </row>
    <row r="601" spans="1:3" ht="14">
      <c r="A601" s="25"/>
      <c r="C601" s="24"/>
    </row>
    <row r="602" spans="1:3" ht="14">
      <c r="A602" s="25"/>
      <c r="C602" s="24"/>
    </row>
    <row r="603" spans="1:3" ht="14">
      <c r="A603" s="25"/>
      <c r="C603" s="24"/>
    </row>
    <row r="604" spans="1:3" ht="14">
      <c r="A604" s="25"/>
      <c r="C604" s="24"/>
    </row>
    <row r="605" spans="1:3" ht="14">
      <c r="A605" s="25"/>
      <c r="C605" s="24"/>
    </row>
    <row r="606" spans="1:3" ht="14">
      <c r="A606" s="25"/>
      <c r="C606" s="24"/>
    </row>
    <row r="607" spans="1:3" ht="14">
      <c r="A607" s="25"/>
      <c r="C607" s="24"/>
    </row>
    <row r="608" spans="1:3" ht="14">
      <c r="A608" s="25"/>
      <c r="C608" s="24"/>
    </row>
    <row r="609" spans="1:3" ht="14">
      <c r="A609" s="25"/>
      <c r="C609" s="24"/>
    </row>
    <row r="610" spans="1:3" ht="14">
      <c r="A610" s="25"/>
      <c r="C610" s="24"/>
    </row>
    <row r="611" spans="1:3" ht="14">
      <c r="A611" s="25"/>
      <c r="C611" s="24"/>
    </row>
    <row r="612" spans="1:3" ht="14">
      <c r="A612" s="25"/>
      <c r="C612" s="24"/>
    </row>
    <row r="613" spans="1:3" ht="14">
      <c r="A613" s="25"/>
      <c r="C613" s="24"/>
    </row>
    <row r="614" spans="1:3" ht="14">
      <c r="A614" s="25"/>
      <c r="C614" s="24"/>
    </row>
    <row r="615" spans="1:3" ht="14">
      <c r="A615" s="25"/>
      <c r="C615" s="24"/>
    </row>
    <row r="616" spans="1:3" ht="14">
      <c r="A616" s="25"/>
      <c r="C616" s="24"/>
    </row>
    <row r="617" spans="1:3" ht="14">
      <c r="A617" s="25"/>
      <c r="C617" s="24"/>
    </row>
    <row r="618" spans="1:3" ht="14">
      <c r="A618" s="25"/>
      <c r="C618" s="24"/>
    </row>
    <row r="619" spans="1:3" ht="14">
      <c r="A619" s="25"/>
      <c r="C619" s="24"/>
    </row>
    <row r="620" spans="1:3" ht="14">
      <c r="A620" s="25"/>
      <c r="C620" s="24"/>
    </row>
    <row r="621" spans="1:3" ht="14">
      <c r="A621" s="25"/>
      <c r="C621" s="24"/>
    </row>
    <row r="622" spans="1:3" ht="14">
      <c r="A622" s="25"/>
      <c r="C622" s="24"/>
    </row>
    <row r="623" spans="1:3" ht="14">
      <c r="A623" s="25"/>
      <c r="C623" s="24"/>
    </row>
    <row r="624" spans="1:3" ht="14">
      <c r="A624" s="25"/>
      <c r="C624" s="24"/>
    </row>
    <row r="625" spans="1:3" ht="14">
      <c r="A625" s="25"/>
      <c r="C625" s="24"/>
    </row>
    <row r="626" spans="1:3" ht="14">
      <c r="A626" s="25"/>
      <c r="C626" s="24"/>
    </row>
    <row r="627" spans="1:3" ht="14">
      <c r="A627" s="25"/>
      <c r="C627" s="24"/>
    </row>
    <row r="628" spans="1:3" ht="14">
      <c r="A628" s="25"/>
      <c r="C628" s="24"/>
    </row>
    <row r="629" spans="1:3" ht="14">
      <c r="A629" s="25"/>
      <c r="C629" s="24"/>
    </row>
    <row r="630" spans="1:3" ht="14">
      <c r="A630" s="25"/>
      <c r="C630" s="24"/>
    </row>
    <row r="631" spans="1:3" ht="14">
      <c r="A631" s="25"/>
      <c r="C631" s="24"/>
    </row>
    <row r="632" spans="1:3" ht="14">
      <c r="A632" s="25"/>
      <c r="C632" s="24"/>
    </row>
    <row r="633" spans="1:3" ht="14">
      <c r="A633" s="25"/>
      <c r="C633" s="24"/>
    </row>
    <row r="634" spans="1:3" ht="14">
      <c r="A634" s="25"/>
      <c r="C634" s="24"/>
    </row>
    <row r="635" spans="1:3" ht="14">
      <c r="A635" s="25"/>
      <c r="C635" s="24"/>
    </row>
    <row r="636" spans="1:3" ht="14">
      <c r="A636" s="25"/>
      <c r="C636" s="24"/>
    </row>
    <row r="637" spans="1:3" ht="14">
      <c r="A637" s="25"/>
      <c r="C637" s="24"/>
    </row>
    <row r="638" spans="1:3" ht="14">
      <c r="A638" s="25"/>
      <c r="C638" s="24"/>
    </row>
    <row r="639" spans="1:3" ht="14">
      <c r="A639" s="25"/>
      <c r="C639" s="24"/>
    </row>
    <row r="640" spans="1:3" ht="14">
      <c r="A640" s="25"/>
      <c r="C640" s="24"/>
    </row>
    <row r="641" spans="1:3" ht="14">
      <c r="A641" s="25"/>
      <c r="C641" s="24"/>
    </row>
    <row r="642" spans="1:3" ht="14">
      <c r="A642" s="25"/>
      <c r="C642" s="24"/>
    </row>
    <row r="643" spans="1:3" ht="14">
      <c r="A643" s="25"/>
      <c r="C643" s="24"/>
    </row>
    <row r="644" spans="1:3" ht="14">
      <c r="A644" s="25"/>
      <c r="C644" s="24"/>
    </row>
    <row r="645" spans="1:3" ht="14">
      <c r="A645" s="25"/>
      <c r="C645" s="24"/>
    </row>
    <row r="646" spans="1:3" ht="14">
      <c r="A646" s="25"/>
      <c r="C646" s="24"/>
    </row>
    <row r="647" spans="1:3" ht="14">
      <c r="A647" s="25"/>
      <c r="C647" s="24"/>
    </row>
    <row r="648" spans="1:3" ht="14">
      <c r="A648" s="25"/>
      <c r="C648" s="24"/>
    </row>
    <row r="649" spans="1:3" ht="14">
      <c r="A649" s="25"/>
      <c r="C649" s="24"/>
    </row>
    <row r="650" spans="1:3" ht="14">
      <c r="A650" s="25"/>
      <c r="C650" s="24"/>
    </row>
    <row r="651" spans="1:3" ht="14">
      <c r="A651" s="25"/>
      <c r="C651" s="24"/>
    </row>
    <row r="652" spans="1:3" ht="14">
      <c r="A652" s="25"/>
      <c r="C652" s="24"/>
    </row>
    <row r="653" spans="1:3" ht="14">
      <c r="A653" s="25"/>
      <c r="C653" s="24"/>
    </row>
    <row r="654" spans="1:3" ht="14">
      <c r="A654" s="25"/>
      <c r="C654" s="24"/>
    </row>
    <row r="655" spans="1:3" ht="14">
      <c r="A655" s="25"/>
      <c r="C655" s="24"/>
    </row>
    <row r="656" spans="1:3" ht="14">
      <c r="A656" s="25"/>
      <c r="C656" s="24"/>
    </row>
    <row r="657" spans="1:3" ht="14">
      <c r="A657" s="25"/>
      <c r="C657" s="24"/>
    </row>
    <row r="658" spans="1:3" ht="14">
      <c r="A658" s="25"/>
      <c r="C658" s="24"/>
    </row>
    <row r="659" spans="1:3" ht="14">
      <c r="A659" s="25"/>
      <c r="C659" s="24"/>
    </row>
    <row r="660" spans="1:3" ht="14">
      <c r="A660" s="25"/>
      <c r="C660" s="24"/>
    </row>
    <row r="661" spans="1:3" ht="14">
      <c r="A661" s="25"/>
      <c r="C661" s="24"/>
    </row>
    <row r="662" spans="1:3" ht="14">
      <c r="A662" s="25"/>
      <c r="C662" s="24"/>
    </row>
    <row r="663" spans="1:3" ht="14">
      <c r="A663" s="25"/>
      <c r="C663" s="24"/>
    </row>
    <row r="664" spans="1:3" ht="14">
      <c r="A664" s="25"/>
      <c r="C664" s="24"/>
    </row>
    <row r="665" spans="1:3" ht="14">
      <c r="A665" s="25"/>
      <c r="C665" s="24"/>
    </row>
    <row r="666" spans="1:3" ht="14">
      <c r="A666" s="25"/>
      <c r="C666" s="24"/>
    </row>
    <row r="667" spans="1:3" ht="14">
      <c r="A667" s="25"/>
      <c r="C667" s="24"/>
    </row>
    <row r="668" spans="1:3" ht="14">
      <c r="A668" s="25"/>
      <c r="C668" s="24"/>
    </row>
    <row r="669" spans="1:3" ht="14">
      <c r="A669" s="25"/>
      <c r="C669" s="24"/>
    </row>
    <row r="670" spans="1:3" ht="14">
      <c r="A670" s="25"/>
      <c r="C670" s="24"/>
    </row>
    <row r="671" spans="1:3" ht="14">
      <c r="A671" s="25"/>
      <c r="C671" s="24"/>
    </row>
    <row r="672" spans="1:3" ht="14">
      <c r="A672" s="25"/>
      <c r="C672" s="24"/>
    </row>
    <row r="673" spans="1:3" ht="14">
      <c r="A673" s="25"/>
      <c r="C673" s="24"/>
    </row>
    <row r="674" spans="1:3" ht="14">
      <c r="A674" s="25"/>
      <c r="C674" s="24"/>
    </row>
    <row r="675" spans="1:3" ht="14">
      <c r="A675" s="25"/>
      <c r="C675" s="24"/>
    </row>
    <row r="676" spans="1:3" ht="14">
      <c r="A676" s="25"/>
      <c r="C676" s="24"/>
    </row>
    <row r="677" spans="1:3" ht="14">
      <c r="A677" s="25"/>
      <c r="C677" s="24"/>
    </row>
    <row r="678" spans="1:3" ht="14">
      <c r="A678" s="25"/>
      <c r="C678" s="24"/>
    </row>
    <row r="679" spans="1:3" ht="14">
      <c r="A679" s="25"/>
      <c r="C679" s="24"/>
    </row>
    <row r="680" spans="1:3" ht="14">
      <c r="A680" s="25"/>
      <c r="C680" s="24"/>
    </row>
    <row r="681" spans="1:3" ht="14">
      <c r="A681" s="25"/>
      <c r="C681" s="24"/>
    </row>
    <row r="682" spans="1:3" ht="14">
      <c r="A682" s="25"/>
      <c r="C682" s="24"/>
    </row>
    <row r="683" spans="1:3" ht="14">
      <c r="A683" s="25"/>
      <c r="C683" s="24"/>
    </row>
    <row r="684" spans="1:3" ht="14">
      <c r="A684" s="25"/>
      <c r="C684" s="24"/>
    </row>
    <row r="685" spans="1:3" ht="14">
      <c r="A685" s="25"/>
      <c r="C685" s="24"/>
    </row>
    <row r="686" spans="1:3" ht="14">
      <c r="A686" s="25"/>
      <c r="C686" s="24"/>
    </row>
    <row r="687" spans="1:3" ht="14">
      <c r="A687" s="25"/>
      <c r="C687" s="24"/>
    </row>
    <row r="688" spans="1:3" ht="14">
      <c r="A688" s="25"/>
      <c r="C688" s="24"/>
    </row>
    <row r="689" spans="1:3" ht="14">
      <c r="A689" s="25"/>
      <c r="C689" s="24"/>
    </row>
    <row r="690" spans="1:3" ht="14">
      <c r="A690" s="25"/>
      <c r="C690" s="24"/>
    </row>
    <row r="691" spans="1:3" ht="14">
      <c r="A691" s="25"/>
      <c r="C691" s="24"/>
    </row>
    <row r="692" spans="1:3" ht="14">
      <c r="A692" s="25"/>
      <c r="C692" s="24"/>
    </row>
    <row r="693" spans="1:3" ht="14">
      <c r="A693" s="25"/>
      <c r="C693" s="24"/>
    </row>
    <row r="694" spans="1:3" ht="14">
      <c r="A694" s="25"/>
      <c r="C694" s="24"/>
    </row>
    <row r="695" spans="1:3" ht="14">
      <c r="A695" s="25"/>
      <c r="C695" s="24"/>
    </row>
    <row r="696" spans="1:3" ht="14">
      <c r="A696" s="25"/>
      <c r="C696" s="24"/>
    </row>
    <row r="697" spans="1:3" ht="14">
      <c r="A697" s="25"/>
      <c r="C697" s="24"/>
    </row>
    <row r="698" spans="1:3" ht="14">
      <c r="A698" s="25"/>
      <c r="C698" s="24"/>
    </row>
    <row r="699" spans="1:3" ht="14">
      <c r="A699" s="25"/>
      <c r="C699" s="24"/>
    </row>
    <row r="700" spans="1:3" ht="14">
      <c r="A700" s="25"/>
      <c r="C700" s="24"/>
    </row>
    <row r="701" spans="1:3" ht="14">
      <c r="A701" s="25"/>
      <c r="C701" s="24"/>
    </row>
    <row r="702" spans="1:3" ht="14">
      <c r="A702" s="25"/>
      <c r="C702" s="24"/>
    </row>
    <row r="703" spans="1:3" ht="14">
      <c r="A703" s="25"/>
      <c r="C703" s="24"/>
    </row>
    <row r="704" spans="1:3" ht="14">
      <c r="A704" s="25"/>
      <c r="C704" s="24"/>
    </row>
    <row r="705" spans="1:3" ht="14">
      <c r="A705" s="25"/>
      <c r="C705" s="24"/>
    </row>
    <row r="706" spans="1:3" ht="14">
      <c r="A706" s="25"/>
      <c r="C706" s="24"/>
    </row>
    <row r="707" spans="1:3" ht="14">
      <c r="A707" s="25"/>
      <c r="C707" s="24"/>
    </row>
    <row r="708" spans="1:3" ht="14">
      <c r="A708" s="25"/>
      <c r="C708" s="24"/>
    </row>
    <row r="709" spans="1:3" ht="14">
      <c r="A709" s="25"/>
      <c r="C709" s="24"/>
    </row>
    <row r="710" spans="1:3" ht="14">
      <c r="A710" s="25"/>
      <c r="C710" s="24"/>
    </row>
    <row r="711" spans="1:3" ht="14">
      <c r="A711" s="25"/>
      <c r="C711" s="24"/>
    </row>
    <row r="712" spans="1:3" ht="14">
      <c r="A712" s="25"/>
      <c r="C712" s="24"/>
    </row>
    <row r="713" spans="1:3" ht="14">
      <c r="A713" s="25"/>
      <c r="C713" s="24"/>
    </row>
    <row r="714" spans="1:3" ht="14">
      <c r="A714" s="25"/>
      <c r="C714" s="24"/>
    </row>
    <row r="715" spans="1:3" ht="14">
      <c r="A715" s="25"/>
      <c r="C715" s="24"/>
    </row>
    <row r="716" spans="1:3" ht="14">
      <c r="A716" s="25"/>
      <c r="C716" s="24"/>
    </row>
    <row r="717" spans="1:3" ht="14">
      <c r="A717" s="25"/>
      <c r="C717" s="24"/>
    </row>
    <row r="718" spans="1:3" ht="14">
      <c r="A718" s="25"/>
      <c r="C718" s="24"/>
    </row>
    <row r="719" spans="1:3" ht="14">
      <c r="A719" s="25"/>
      <c r="C719" s="24"/>
    </row>
    <row r="720" spans="1:3" ht="14">
      <c r="A720" s="25"/>
      <c r="C720" s="24"/>
    </row>
    <row r="721" spans="1:3" ht="14">
      <c r="A721" s="25"/>
      <c r="C721" s="24"/>
    </row>
    <row r="722" spans="1:3" ht="14">
      <c r="A722" s="25"/>
      <c r="C722" s="24"/>
    </row>
    <row r="723" spans="1:3" ht="14">
      <c r="A723" s="25"/>
      <c r="C723" s="24"/>
    </row>
    <row r="724" spans="1:3" ht="14">
      <c r="A724" s="25"/>
      <c r="C724" s="24"/>
    </row>
    <row r="725" spans="1:3" ht="14">
      <c r="A725" s="25"/>
      <c r="C725" s="24"/>
    </row>
    <row r="726" spans="1:3" ht="14">
      <c r="A726" s="25"/>
      <c r="C726" s="24"/>
    </row>
    <row r="727" spans="1:3" ht="14">
      <c r="A727" s="25"/>
      <c r="C727" s="24"/>
    </row>
    <row r="728" spans="1:3" ht="14">
      <c r="A728" s="25"/>
      <c r="C728" s="24"/>
    </row>
    <row r="729" spans="1:3" ht="14">
      <c r="A729" s="25"/>
      <c r="C729" s="24"/>
    </row>
    <row r="730" spans="1:3" ht="14">
      <c r="A730" s="25"/>
      <c r="C730" s="24"/>
    </row>
    <row r="731" spans="1:3" ht="14">
      <c r="A731" s="25"/>
      <c r="C731" s="24"/>
    </row>
    <row r="732" spans="1:3" ht="14">
      <c r="A732" s="25"/>
      <c r="C732" s="24"/>
    </row>
    <row r="733" spans="1:3" ht="14">
      <c r="A733" s="25"/>
      <c r="C733" s="24"/>
    </row>
    <row r="734" spans="1:3" ht="14">
      <c r="A734" s="25"/>
      <c r="C734" s="24"/>
    </row>
    <row r="735" spans="1:3" ht="14">
      <c r="A735" s="25"/>
      <c r="C735" s="24"/>
    </row>
    <row r="736" spans="1:3" ht="14">
      <c r="A736" s="25"/>
      <c r="C736" s="24"/>
    </row>
    <row r="737" spans="1:3" ht="14">
      <c r="A737" s="25"/>
      <c r="C737" s="24"/>
    </row>
    <row r="738" spans="1:3" ht="14">
      <c r="A738" s="25"/>
      <c r="C738" s="24"/>
    </row>
    <row r="739" spans="1:3" ht="14">
      <c r="A739" s="25"/>
      <c r="C739" s="24"/>
    </row>
    <row r="740" spans="1:3" ht="14">
      <c r="A740" s="25"/>
      <c r="C740" s="24"/>
    </row>
    <row r="741" spans="1:3" ht="14">
      <c r="A741" s="25"/>
      <c r="C741" s="24"/>
    </row>
    <row r="742" spans="1:3" ht="14">
      <c r="A742" s="25"/>
      <c r="C742" s="24"/>
    </row>
    <row r="743" spans="1:3" ht="14">
      <c r="A743" s="25"/>
      <c r="C743" s="24"/>
    </row>
    <row r="744" spans="1:3" ht="14">
      <c r="A744" s="25"/>
      <c r="C744" s="24"/>
    </row>
    <row r="745" spans="1:3" ht="14">
      <c r="A745" s="25"/>
      <c r="C745" s="24"/>
    </row>
    <row r="746" spans="1:3" ht="14">
      <c r="A746" s="25"/>
      <c r="C746" s="24"/>
    </row>
    <row r="747" spans="1:3" ht="14">
      <c r="A747" s="25"/>
      <c r="C747" s="24"/>
    </row>
    <row r="748" spans="1:3" ht="14">
      <c r="A748" s="25"/>
      <c r="C748" s="24"/>
    </row>
    <row r="749" spans="1:3" ht="14">
      <c r="A749" s="25"/>
      <c r="C749" s="24"/>
    </row>
    <row r="750" spans="1:3" ht="14">
      <c r="A750" s="25"/>
      <c r="C750" s="24"/>
    </row>
    <row r="751" spans="1:3" ht="14">
      <c r="A751" s="25"/>
      <c r="C751" s="24"/>
    </row>
    <row r="752" spans="1:3" ht="14">
      <c r="A752" s="25"/>
      <c r="C752" s="24"/>
    </row>
    <row r="753" spans="1:3" ht="14">
      <c r="A753" s="25"/>
      <c r="C753" s="24"/>
    </row>
    <row r="754" spans="1:3" ht="14">
      <c r="A754" s="25"/>
      <c r="C754" s="24"/>
    </row>
    <row r="755" spans="1:3" ht="14">
      <c r="A755" s="25"/>
      <c r="C755" s="24"/>
    </row>
    <row r="756" spans="1:3" ht="14">
      <c r="A756" s="25"/>
      <c r="C756" s="24"/>
    </row>
    <row r="757" spans="1:3" ht="14">
      <c r="A757" s="25"/>
      <c r="C757" s="24"/>
    </row>
    <row r="758" spans="1:3" ht="14">
      <c r="A758" s="25"/>
      <c r="C758" s="24"/>
    </row>
    <row r="759" spans="1:3" ht="14">
      <c r="A759" s="25"/>
      <c r="C759" s="24"/>
    </row>
    <row r="760" spans="1:3" ht="14">
      <c r="A760" s="25"/>
      <c r="C760" s="24"/>
    </row>
    <row r="761" spans="1:3" ht="14">
      <c r="A761" s="25"/>
      <c r="C761" s="24"/>
    </row>
    <row r="762" spans="1:3" ht="14">
      <c r="A762" s="25"/>
      <c r="C762" s="24"/>
    </row>
    <row r="763" spans="1:3" ht="14">
      <c r="A763" s="25"/>
      <c r="C763" s="24"/>
    </row>
    <row r="764" spans="1:3" ht="14">
      <c r="A764" s="25"/>
      <c r="C764" s="24"/>
    </row>
    <row r="765" spans="1:3" ht="14">
      <c r="A765" s="25"/>
      <c r="C765" s="24"/>
    </row>
    <row r="766" spans="1:3" ht="14">
      <c r="A766" s="25"/>
      <c r="C766" s="24"/>
    </row>
    <row r="767" spans="1:3" ht="14">
      <c r="A767" s="25"/>
      <c r="C767" s="24"/>
    </row>
    <row r="768" spans="1:3" ht="14">
      <c r="A768" s="25"/>
      <c r="C768" s="24"/>
    </row>
    <row r="769" spans="1:3" ht="14">
      <c r="A769" s="25"/>
      <c r="C769" s="24"/>
    </row>
    <row r="770" spans="1:3" ht="14">
      <c r="A770" s="25"/>
      <c r="C770" s="24"/>
    </row>
    <row r="771" spans="1:3" ht="14">
      <c r="A771" s="25"/>
      <c r="C771" s="24"/>
    </row>
    <row r="772" spans="1:3" ht="14">
      <c r="A772" s="25"/>
      <c r="C772" s="24"/>
    </row>
    <row r="773" spans="1:3" ht="14">
      <c r="A773" s="25"/>
      <c r="C773" s="24"/>
    </row>
    <row r="774" spans="1:3" ht="14">
      <c r="A774" s="25"/>
      <c r="C774" s="24"/>
    </row>
    <row r="775" spans="1:3" ht="14">
      <c r="A775" s="25"/>
      <c r="C775" s="24"/>
    </row>
    <row r="776" spans="1:3" ht="14">
      <c r="A776" s="25"/>
      <c r="C776" s="24"/>
    </row>
    <row r="777" spans="1:3" ht="14">
      <c r="A777" s="25"/>
      <c r="C777" s="24"/>
    </row>
    <row r="778" spans="1:3" ht="14">
      <c r="A778" s="25"/>
      <c r="C778" s="24"/>
    </row>
    <row r="779" spans="1:3" ht="14">
      <c r="A779" s="25"/>
      <c r="C779" s="24"/>
    </row>
    <row r="780" spans="1:3" ht="14">
      <c r="A780" s="25"/>
      <c r="C780" s="24"/>
    </row>
    <row r="781" spans="1:3" ht="14">
      <c r="A781" s="25"/>
      <c r="C781" s="24"/>
    </row>
    <row r="782" spans="1:3" ht="14">
      <c r="A782" s="25"/>
      <c r="C782" s="24"/>
    </row>
    <row r="783" spans="1:3" ht="14">
      <c r="A783" s="25"/>
      <c r="C783" s="24"/>
    </row>
    <row r="784" spans="1:3" ht="14">
      <c r="A784" s="25"/>
      <c r="C784" s="24"/>
    </row>
    <row r="785" spans="1:3" ht="14">
      <c r="A785" s="25"/>
      <c r="C785" s="24"/>
    </row>
    <row r="786" spans="1:3" ht="14">
      <c r="A786" s="25"/>
      <c r="C786" s="24"/>
    </row>
    <row r="787" spans="1:3" ht="14">
      <c r="A787" s="25"/>
      <c r="C787" s="24"/>
    </row>
    <row r="788" spans="1:3" ht="14">
      <c r="A788" s="25"/>
      <c r="C788" s="24"/>
    </row>
    <row r="789" spans="1:3" ht="14">
      <c r="A789" s="25"/>
      <c r="C789" s="24"/>
    </row>
    <row r="790" spans="1:3" ht="14">
      <c r="A790" s="25"/>
      <c r="C790" s="24"/>
    </row>
    <row r="791" spans="1:3" ht="14">
      <c r="A791" s="25"/>
      <c r="C791" s="24"/>
    </row>
    <row r="792" spans="1:3" ht="14">
      <c r="A792" s="25"/>
      <c r="C792" s="24"/>
    </row>
    <row r="793" spans="1:3" ht="14">
      <c r="A793" s="25"/>
      <c r="C793" s="24"/>
    </row>
    <row r="794" spans="1:3" ht="14">
      <c r="A794" s="25"/>
      <c r="C794" s="24"/>
    </row>
    <row r="795" spans="1:3" ht="14">
      <c r="A795" s="25"/>
      <c r="C795" s="24"/>
    </row>
    <row r="796" spans="1:3" ht="14">
      <c r="A796" s="25"/>
      <c r="C796" s="24"/>
    </row>
    <row r="797" spans="1:3" ht="14">
      <c r="A797" s="25"/>
      <c r="C797" s="24"/>
    </row>
    <row r="798" spans="1:3" ht="14">
      <c r="A798" s="25"/>
      <c r="C798" s="24"/>
    </row>
    <row r="799" spans="1:3" ht="14">
      <c r="A799" s="25"/>
      <c r="C799" s="24"/>
    </row>
    <row r="800" spans="1:3" ht="14">
      <c r="A800" s="25"/>
      <c r="C800" s="24"/>
    </row>
    <row r="801" spans="1:3" ht="14">
      <c r="A801" s="25"/>
      <c r="C801" s="24"/>
    </row>
    <row r="802" spans="1:3" ht="14">
      <c r="A802" s="25"/>
      <c r="C802" s="24"/>
    </row>
    <row r="803" spans="1:3" ht="14">
      <c r="A803" s="25"/>
      <c r="C803" s="24"/>
    </row>
    <row r="804" spans="1:3" ht="14">
      <c r="A804" s="25"/>
      <c r="C804" s="24"/>
    </row>
    <row r="805" spans="1:3" ht="14">
      <c r="A805" s="25"/>
      <c r="C805" s="24"/>
    </row>
    <row r="806" spans="1:3" ht="14">
      <c r="A806" s="25"/>
      <c r="C806" s="24"/>
    </row>
    <row r="807" spans="1:3" ht="14">
      <c r="A807" s="25"/>
      <c r="C807" s="24"/>
    </row>
    <row r="808" spans="1:3" ht="14">
      <c r="A808" s="25"/>
      <c r="C808" s="24"/>
    </row>
    <row r="809" spans="1:3" ht="14">
      <c r="A809" s="25"/>
      <c r="C809" s="24"/>
    </row>
    <row r="810" spans="1:3" ht="14">
      <c r="A810" s="25"/>
      <c r="C810" s="24"/>
    </row>
    <row r="811" spans="1:3" ht="14">
      <c r="A811" s="25"/>
      <c r="C811" s="24"/>
    </row>
    <row r="812" spans="1:3" ht="14">
      <c r="A812" s="25"/>
      <c r="C812" s="24"/>
    </row>
    <row r="813" spans="1:3" ht="14">
      <c r="A813" s="25"/>
      <c r="C813" s="24"/>
    </row>
    <row r="814" spans="1:3" ht="14">
      <c r="A814" s="25"/>
      <c r="C814" s="24"/>
    </row>
    <row r="815" spans="1:3" ht="14">
      <c r="A815" s="25"/>
      <c r="C815" s="24"/>
    </row>
    <row r="816" spans="1:3" ht="14">
      <c r="A816" s="25"/>
      <c r="C816" s="24"/>
    </row>
    <row r="817" spans="1:3" ht="14">
      <c r="A817" s="25"/>
      <c r="C817" s="24"/>
    </row>
    <row r="818" spans="1:3" ht="14">
      <c r="A818" s="25"/>
      <c r="C818" s="24"/>
    </row>
    <row r="819" spans="1:3" ht="14">
      <c r="A819" s="25"/>
      <c r="C819" s="24"/>
    </row>
    <row r="820" spans="1:3" ht="14">
      <c r="A820" s="25"/>
      <c r="C820" s="24"/>
    </row>
    <row r="821" spans="1:3" ht="14">
      <c r="A821" s="25"/>
      <c r="C821" s="24"/>
    </row>
    <row r="822" spans="1:3" ht="14">
      <c r="A822" s="25"/>
      <c r="C822" s="24"/>
    </row>
    <row r="823" spans="1:3" ht="14">
      <c r="A823" s="25"/>
      <c r="C823" s="24"/>
    </row>
    <row r="824" spans="1:3" ht="14">
      <c r="A824" s="25"/>
      <c r="C824" s="24"/>
    </row>
    <row r="825" spans="1:3" ht="14">
      <c r="A825" s="25"/>
      <c r="C825" s="24"/>
    </row>
    <row r="826" spans="1:3" ht="14">
      <c r="A826" s="25"/>
      <c r="C826" s="24"/>
    </row>
    <row r="827" spans="1:3" ht="14">
      <c r="A827" s="25"/>
      <c r="C827" s="24"/>
    </row>
    <row r="828" spans="1:3" ht="14">
      <c r="A828" s="25"/>
      <c r="C828" s="24"/>
    </row>
    <row r="829" spans="1:3" ht="14">
      <c r="A829" s="25"/>
      <c r="C829" s="24"/>
    </row>
    <row r="830" spans="1:3" ht="14">
      <c r="A830" s="25"/>
      <c r="C830" s="24"/>
    </row>
    <row r="831" spans="1:3" ht="14">
      <c r="A831" s="25"/>
      <c r="C831" s="24"/>
    </row>
    <row r="832" spans="1:3" ht="14">
      <c r="A832" s="25"/>
      <c r="C832" s="24"/>
    </row>
    <row r="833" spans="1:3" ht="14">
      <c r="A833" s="25"/>
      <c r="C833" s="24"/>
    </row>
    <row r="834" spans="1:3" ht="14">
      <c r="A834" s="25"/>
      <c r="C834" s="24"/>
    </row>
    <row r="835" spans="1:3" ht="14">
      <c r="A835" s="25"/>
      <c r="C835" s="24"/>
    </row>
    <row r="836" spans="1:3" ht="14">
      <c r="A836" s="25"/>
      <c r="C836" s="24"/>
    </row>
    <row r="837" spans="1:3" ht="14">
      <c r="A837" s="25"/>
      <c r="C837" s="24"/>
    </row>
    <row r="838" spans="1:3" ht="14">
      <c r="A838" s="25"/>
      <c r="C838" s="24"/>
    </row>
    <row r="839" spans="1:3" ht="14">
      <c r="A839" s="25"/>
      <c r="C839" s="24"/>
    </row>
    <row r="840" spans="1:3" ht="14">
      <c r="A840" s="25"/>
      <c r="C840" s="24"/>
    </row>
    <row r="841" spans="1:3" ht="14">
      <c r="A841" s="25"/>
      <c r="C841" s="24"/>
    </row>
    <row r="842" spans="1:3" ht="14">
      <c r="A842" s="25"/>
      <c r="C842" s="24"/>
    </row>
    <row r="843" spans="1:3" ht="14">
      <c r="A843" s="25"/>
      <c r="C843" s="24"/>
    </row>
    <row r="844" spans="1:3" ht="14">
      <c r="A844" s="25"/>
      <c r="C844" s="24"/>
    </row>
    <row r="845" spans="1:3" ht="14">
      <c r="A845" s="25"/>
      <c r="C845" s="24"/>
    </row>
    <row r="846" spans="1:3" ht="14">
      <c r="A846" s="25"/>
      <c r="C846" s="24"/>
    </row>
    <row r="847" spans="1:3" ht="14">
      <c r="A847" s="25"/>
      <c r="C847" s="24"/>
    </row>
    <row r="848" spans="1:3" ht="14">
      <c r="A848" s="25"/>
      <c r="C848" s="24"/>
    </row>
    <row r="849" spans="1:3" ht="14">
      <c r="A849" s="25"/>
      <c r="C849" s="24"/>
    </row>
    <row r="850" spans="1:3" ht="14">
      <c r="A850" s="25"/>
      <c r="C850" s="24"/>
    </row>
    <row r="851" spans="1:3" ht="14">
      <c r="A851" s="25"/>
      <c r="C851" s="24"/>
    </row>
    <row r="852" spans="1:3" ht="14">
      <c r="A852" s="25"/>
      <c r="C852" s="24"/>
    </row>
    <row r="853" spans="1:3" ht="14">
      <c r="A853" s="25"/>
      <c r="C853" s="24"/>
    </row>
    <row r="854" spans="1:3" ht="14">
      <c r="A854" s="25"/>
      <c r="C854" s="24"/>
    </row>
    <row r="855" spans="1:3" ht="14">
      <c r="A855" s="25"/>
      <c r="C855" s="24"/>
    </row>
    <row r="856" spans="1:3" ht="14">
      <c r="A856" s="25"/>
      <c r="C856" s="24"/>
    </row>
    <row r="857" spans="1:3" ht="14">
      <c r="A857" s="25"/>
      <c r="C857" s="24"/>
    </row>
    <row r="858" spans="1:3" ht="14">
      <c r="A858" s="25"/>
      <c r="C858" s="24"/>
    </row>
    <row r="859" spans="1:3" ht="14">
      <c r="A859" s="25"/>
      <c r="C859" s="24"/>
    </row>
    <row r="860" spans="1:3" ht="14">
      <c r="A860" s="25"/>
      <c r="C860" s="24"/>
    </row>
    <row r="861" spans="1:3" ht="14">
      <c r="A861" s="25"/>
      <c r="C861" s="24"/>
    </row>
    <row r="862" spans="1:3" ht="14">
      <c r="A862" s="25"/>
      <c r="C862" s="24"/>
    </row>
    <row r="863" spans="1:3" ht="14">
      <c r="A863" s="25"/>
      <c r="C863" s="24"/>
    </row>
    <row r="864" spans="1:3" ht="14">
      <c r="A864" s="25"/>
      <c r="C864" s="24"/>
    </row>
    <row r="865" spans="1:3" ht="14">
      <c r="A865" s="25"/>
      <c r="C865" s="24"/>
    </row>
    <row r="866" spans="1:3" ht="14">
      <c r="A866" s="25"/>
      <c r="C866" s="24"/>
    </row>
    <row r="867" spans="1:3" ht="14">
      <c r="A867" s="25"/>
      <c r="C867" s="24"/>
    </row>
    <row r="868" spans="1:3" ht="14">
      <c r="A868" s="25"/>
      <c r="C868" s="24"/>
    </row>
    <row r="869" spans="1:3" ht="14">
      <c r="A869" s="25"/>
      <c r="C869" s="24"/>
    </row>
    <row r="870" spans="1:3" ht="14">
      <c r="A870" s="25"/>
      <c r="C870" s="24"/>
    </row>
    <row r="871" spans="1:3" ht="14">
      <c r="A871" s="25"/>
      <c r="C871" s="24"/>
    </row>
    <row r="872" spans="1:3" ht="14">
      <c r="A872" s="25"/>
      <c r="C872" s="24"/>
    </row>
    <row r="873" spans="1:3" ht="14">
      <c r="A873" s="25"/>
      <c r="C873" s="24"/>
    </row>
    <row r="874" spans="1:3" ht="14">
      <c r="A874" s="25"/>
      <c r="C874" s="24"/>
    </row>
    <row r="875" spans="1:3" ht="14">
      <c r="A875" s="25"/>
      <c r="C875" s="24"/>
    </row>
    <row r="876" spans="1:3" ht="14">
      <c r="A876" s="25"/>
      <c r="C876" s="24"/>
    </row>
    <row r="877" spans="1:3" ht="14">
      <c r="A877" s="25"/>
      <c r="C877" s="24"/>
    </row>
    <row r="878" spans="1:3" ht="14">
      <c r="A878" s="25"/>
      <c r="C878" s="24"/>
    </row>
    <row r="879" spans="1:3" ht="14">
      <c r="A879" s="25"/>
      <c r="C879" s="24"/>
    </row>
    <row r="880" spans="1:3" ht="14">
      <c r="A880" s="25"/>
      <c r="C880" s="24"/>
    </row>
    <row r="881" spans="1:3" ht="14">
      <c r="A881" s="25"/>
      <c r="C881" s="24"/>
    </row>
    <row r="882" spans="1:3" ht="14">
      <c r="A882" s="25"/>
      <c r="C882" s="24"/>
    </row>
    <row r="883" spans="1:3" ht="14">
      <c r="A883" s="25"/>
      <c r="C883" s="24"/>
    </row>
    <row r="884" spans="1:3" ht="14">
      <c r="A884" s="25"/>
      <c r="C884" s="24"/>
    </row>
    <row r="885" spans="1:3" ht="14">
      <c r="A885" s="25"/>
      <c r="C885" s="24"/>
    </row>
    <row r="886" spans="1:3" ht="14">
      <c r="A886" s="25"/>
      <c r="C886" s="24"/>
    </row>
    <row r="887" spans="1:3" ht="14">
      <c r="A887" s="25"/>
      <c r="C887" s="24"/>
    </row>
    <row r="888" spans="1:3" ht="14">
      <c r="A888" s="25"/>
      <c r="C888" s="24"/>
    </row>
    <row r="889" spans="1:3" ht="14">
      <c r="A889" s="25"/>
      <c r="C889" s="24"/>
    </row>
    <row r="890" spans="1:3" ht="14">
      <c r="A890" s="25"/>
      <c r="C890" s="24"/>
    </row>
    <row r="891" spans="1:3" ht="14">
      <c r="A891" s="25"/>
      <c r="C891" s="24"/>
    </row>
    <row r="892" spans="1:3" ht="14">
      <c r="A892" s="25"/>
      <c r="C892" s="24"/>
    </row>
    <row r="893" spans="1:3" ht="14">
      <c r="A893" s="25"/>
      <c r="C893" s="24"/>
    </row>
    <row r="894" spans="1:3" ht="14">
      <c r="A894" s="25"/>
      <c r="C894" s="24"/>
    </row>
    <row r="895" spans="1:3" ht="14">
      <c r="A895" s="25"/>
      <c r="C895" s="24"/>
    </row>
    <row r="896" spans="1:3" ht="14">
      <c r="A896" s="25"/>
      <c r="C896" s="24"/>
    </row>
    <row r="897" spans="1:3" ht="14">
      <c r="A897" s="25"/>
      <c r="C897" s="24"/>
    </row>
    <row r="898" spans="1:3" ht="14">
      <c r="A898" s="25"/>
      <c r="C898" s="24"/>
    </row>
    <row r="899" spans="1:3" ht="14">
      <c r="A899" s="25"/>
      <c r="C899" s="24"/>
    </row>
    <row r="900" spans="1:3" ht="14">
      <c r="A900" s="25"/>
      <c r="C900" s="24"/>
    </row>
    <row r="901" spans="1:3" ht="14">
      <c r="A901" s="25"/>
      <c r="C901" s="24"/>
    </row>
    <row r="902" spans="1:3" ht="14">
      <c r="A902" s="25"/>
      <c r="C902" s="24"/>
    </row>
    <row r="903" spans="1:3" ht="14">
      <c r="A903" s="25"/>
      <c r="C903" s="24"/>
    </row>
    <row r="904" spans="1:3" ht="14">
      <c r="A904" s="25"/>
      <c r="C904" s="24"/>
    </row>
    <row r="905" spans="1:3" ht="14">
      <c r="A905" s="25"/>
      <c r="C905" s="24"/>
    </row>
    <row r="906" spans="1:3" ht="14">
      <c r="A906" s="25"/>
      <c r="C906" s="24"/>
    </row>
    <row r="907" spans="1:3" ht="14">
      <c r="A907" s="25"/>
      <c r="C907" s="24"/>
    </row>
    <row r="908" spans="1:3" ht="14">
      <c r="A908" s="25"/>
      <c r="C908" s="24"/>
    </row>
    <row r="909" spans="1:3" ht="14">
      <c r="A909" s="25"/>
      <c r="C909" s="24"/>
    </row>
    <row r="910" spans="1:3" ht="14">
      <c r="A910" s="25"/>
      <c r="C910" s="24"/>
    </row>
    <row r="911" spans="1:3" ht="14">
      <c r="A911" s="25"/>
      <c r="C911" s="24"/>
    </row>
    <row r="912" spans="1:3" ht="14">
      <c r="A912" s="25"/>
      <c r="C912" s="24"/>
    </row>
    <row r="913" spans="1:3" ht="14">
      <c r="A913" s="25"/>
      <c r="C913" s="24"/>
    </row>
    <row r="914" spans="1:3" ht="14">
      <c r="A914" s="25"/>
      <c r="C914" s="24"/>
    </row>
    <row r="915" spans="1:3" ht="14">
      <c r="A915" s="25"/>
      <c r="C915" s="24"/>
    </row>
    <row r="916" spans="1:3" ht="14">
      <c r="A916" s="25"/>
      <c r="C916" s="24"/>
    </row>
    <row r="917" spans="1:3" ht="14">
      <c r="A917" s="25"/>
      <c r="C917" s="24"/>
    </row>
    <row r="918" spans="1:3" ht="14">
      <c r="A918" s="25"/>
      <c r="C918" s="24"/>
    </row>
    <row r="919" spans="1:3" ht="14">
      <c r="A919" s="25"/>
      <c r="C919" s="24"/>
    </row>
    <row r="920" spans="1:3" ht="14">
      <c r="A920" s="25"/>
      <c r="C920" s="24"/>
    </row>
    <row r="921" spans="1:3" ht="14">
      <c r="A921" s="25"/>
      <c r="C921" s="24"/>
    </row>
    <row r="922" spans="1:3" ht="14">
      <c r="A922" s="25"/>
      <c r="C922" s="24"/>
    </row>
    <row r="923" spans="1:3" ht="14">
      <c r="A923" s="25"/>
      <c r="C923" s="24"/>
    </row>
    <row r="924" spans="1:3" ht="14">
      <c r="A924" s="25"/>
      <c r="C924" s="24"/>
    </row>
    <row r="925" spans="1:3" ht="14">
      <c r="A925" s="25"/>
      <c r="C925" s="24"/>
    </row>
    <row r="926" spans="1:3" ht="14">
      <c r="A926" s="25"/>
      <c r="C926" s="24"/>
    </row>
    <row r="927" spans="1:3" ht="14">
      <c r="A927" s="25"/>
      <c r="C927" s="24"/>
    </row>
    <row r="928" spans="1:3" ht="14">
      <c r="A928" s="25"/>
      <c r="C928" s="24"/>
    </row>
    <row r="929" spans="1:3" ht="14">
      <c r="A929" s="25"/>
      <c r="C929" s="24"/>
    </row>
    <row r="930" spans="1:3" ht="14">
      <c r="A930" s="25"/>
      <c r="C930" s="24"/>
    </row>
    <row r="931" spans="1:3" ht="14">
      <c r="A931" s="25"/>
      <c r="C931" s="24"/>
    </row>
    <row r="932" spans="1:3" ht="14">
      <c r="A932" s="25"/>
      <c r="C932" s="24"/>
    </row>
    <row r="933" spans="1:3" ht="14">
      <c r="A933" s="25"/>
      <c r="C933" s="24"/>
    </row>
    <row r="934" spans="1:3" ht="14">
      <c r="A934" s="25"/>
      <c r="C934" s="24"/>
    </row>
    <row r="935" spans="1:3" ht="14">
      <c r="A935" s="25"/>
      <c r="C935" s="24"/>
    </row>
    <row r="936" spans="1:3" ht="14">
      <c r="A936" s="25"/>
      <c r="C936" s="24"/>
    </row>
    <row r="937" spans="1:3" ht="14">
      <c r="A937" s="25"/>
      <c r="C937" s="24"/>
    </row>
    <row r="938" spans="1:3" ht="14">
      <c r="A938" s="25"/>
      <c r="C938" s="24"/>
    </row>
    <row r="939" spans="1:3" ht="14">
      <c r="A939" s="25"/>
      <c r="C939" s="24"/>
    </row>
    <row r="940" spans="1:3" ht="14">
      <c r="A940" s="25"/>
      <c r="C940" s="24"/>
    </row>
    <row r="941" spans="1:3" ht="14">
      <c r="A941" s="25"/>
      <c r="C941" s="24"/>
    </row>
    <row r="942" spans="1:3" ht="14">
      <c r="A942" s="25"/>
      <c r="C942" s="24"/>
    </row>
    <row r="943" spans="1:3" ht="14">
      <c r="A943" s="25"/>
      <c r="C943" s="24"/>
    </row>
    <row r="944" spans="1:3" ht="14">
      <c r="A944" s="25"/>
      <c r="C944" s="24"/>
    </row>
    <row r="945" spans="1:3" ht="14">
      <c r="A945" s="25"/>
      <c r="C945" s="24"/>
    </row>
    <row r="946" spans="1:3" ht="14">
      <c r="A946" s="25"/>
      <c r="C946" s="24"/>
    </row>
    <row r="947" spans="1:3" ht="14">
      <c r="A947" s="25"/>
      <c r="C947" s="24"/>
    </row>
    <row r="948" spans="1:3" ht="14">
      <c r="A948" s="25"/>
      <c r="C948" s="24"/>
    </row>
    <row r="949" spans="1:3" ht="14">
      <c r="A949" s="25"/>
      <c r="C949" s="24"/>
    </row>
    <row r="950" spans="1:3" ht="14">
      <c r="A950" s="25"/>
      <c r="C950" s="24"/>
    </row>
    <row r="951" spans="1:3" ht="14">
      <c r="A951" s="25"/>
      <c r="C951" s="24"/>
    </row>
    <row r="952" spans="1:3" ht="14">
      <c r="A952" s="25"/>
      <c r="C952" s="24"/>
    </row>
    <row r="953" spans="1:3" ht="14">
      <c r="A953" s="25"/>
      <c r="C953" s="24"/>
    </row>
    <row r="954" spans="1:3" ht="14">
      <c r="A954" s="25"/>
      <c r="C954" s="24"/>
    </row>
    <row r="955" spans="1:3" ht="14">
      <c r="A955" s="25"/>
      <c r="C955" s="24"/>
    </row>
    <row r="956" spans="1:3" ht="14">
      <c r="A956" s="25"/>
      <c r="C956" s="24"/>
    </row>
    <row r="957" spans="1:3" ht="14">
      <c r="A957" s="25"/>
      <c r="C957" s="24"/>
    </row>
    <row r="958" spans="1:3" ht="14">
      <c r="A958" s="25"/>
      <c r="C958" s="24"/>
    </row>
    <row r="959" spans="1:3" ht="14">
      <c r="A959" s="25"/>
      <c r="C959" s="24"/>
    </row>
    <row r="960" spans="1:3" ht="14">
      <c r="A960" s="25"/>
      <c r="C960" s="24"/>
    </row>
    <row r="961" spans="1:3" ht="14">
      <c r="A961" s="25"/>
      <c r="C961" s="24"/>
    </row>
    <row r="962" spans="1:3" ht="14">
      <c r="A962" s="25"/>
      <c r="C962" s="24"/>
    </row>
    <row r="963" spans="1:3" ht="14">
      <c r="A963" s="25"/>
      <c r="C963" s="24"/>
    </row>
    <row r="964" spans="1:3" ht="14">
      <c r="A964" s="25"/>
      <c r="C964" s="24"/>
    </row>
    <row r="965" spans="1:3" ht="14">
      <c r="A965" s="25"/>
      <c r="C965" s="24"/>
    </row>
    <row r="966" spans="1:3" ht="14">
      <c r="A966" s="25"/>
      <c r="C966" s="24"/>
    </row>
    <row r="967" spans="1:3" ht="14">
      <c r="A967" s="25"/>
      <c r="C967" s="24"/>
    </row>
    <row r="968" spans="1:3" ht="14">
      <c r="A968" s="25"/>
      <c r="C968" s="24"/>
    </row>
    <row r="969" spans="1:3" ht="14">
      <c r="A969" s="25"/>
      <c r="C969" s="24"/>
    </row>
    <row r="970" spans="1:3" ht="14">
      <c r="A970" s="25"/>
      <c r="C970" s="24"/>
    </row>
    <row r="971" spans="1:3" ht="14">
      <c r="A971" s="25"/>
      <c r="C971" s="24"/>
    </row>
    <row r="972" spans="1:3" ht="14">
      <c r="A972" s="25"/>
      <c r="C972" s="24"/>
    </row>
    <row r="973" spans="1:3" ht="14">
      <c r="A973" s="25"/>
      <c r="C973" s="24"/>
    </row>
    <row r="974" spans="1:3" ht="14">
      <c r="A974" s="25"/>
      <c r="C974" s="24"/>
    </row>
    <row r="975" spans="1:3" ht="14">
      <c r="A975" s="25"/>
      <c r="C975" s="24"/>
    </row>
    <row r="976" spans="1:3" ht="14">
      <c r="A976" s="25"/>
      <c r="C976" s="24"/>
    </row>
    <row r="977" spans="1:3" ht="14">
      <c r="A977" s="25"/>
      <c r="C977" s="24"/>
    </row>
    <row r="978" spans="1:3" ht="14">
      <c r="A978" s="25"/>
      <c r="C978" s="24"/>
    </row>
    <row r="979" spans="1:3" ht="14">
      <c r="A979" s="25"/>
      <c r="C979" s="24"/>
    </row>
    <row r="980" spans="1:3" ht="14">
      <c r="A980" s="25"/>
      <c r="C980" s="24"/>
    </row>
    <row r="981" spans="1:3" ht="14">
      <c r="A981" s="25"/>
      <c r="C981" s="24"/>
    </row>
    <row r="982" spans="1:3" ht="14">
      <c r="A982" s="25"/>
      <c r="C982" s="24"/>
    </row>
    <row r="983" spans="1:3" ht="14">
      <c r="A983" s="25"/>
      <c r="C983" s="24"/>
    </row>
    <row r="984" spans="1:3" ht="14">
      <c r="A984" s="25"/>
      <c r="C984" s="24"/>
    </row>
    <row r="985" spans="1:3" ht="14">
      <c r="A985" s="25"/>
      <c r="C985" s="24"/>
    </row>
    <row r="986" spans="1:3" ht="14">
      <c r="A986" s="25"/>
      <c r="C986" s="24"/>
    </row>
    <row r="987" spans="1:3" ht="14">
      <c r="A987" s="25"/>
      <c r="C987" s="24"/>
    </row>
    <row r="988" spans="1:3" ht="14">
      <c r="A988" s="25"/>
      <c r="C988" s="24"/>
    </row>
    <row r="989" spans="1:3" ht="14">
      <c r="A989" s="25"/>
      <c r="C989" s="24"/>
    </row>
    <row r="990" spans="1:3" ht="14">
      <c r="A990" s="25"/>
      <c r="C990" s="24"/>
    </row>
    <row r="991" spans="1:3" ht="14">
      <c r="A991" s="25"/>
      <c r="C991" s="24"/>
    </row>
    <row r="992" spans="1:3" ht="14">
      <c r="A992" s="25"/>
      <c r="C992" s="24"/>
    </row>
    <row r="993" spans="1:3" ht="14">
      <c r="A993" s="25"/>
      <c r="C993" s="24"/>
    </row>
    <row r="994" spans="1:3" ht="14">
      <c r="A994" s="25"/>
      <c r="C994" s="24"/>
    </row>
    <row r="995" spans="1:3" ht="14">
      <c r="A995" s="25"/>
      <c r="C995" s="24"/>
    </row>
    <row r="996" spans="1:3" ht="14">
      <c r="A996" s="25"/>
      <c r="C996" s="24"/>
    </row>
    <row r="997" spans="1:3" ht="14">
      <c r="A997" s="25"/>
      <c r="C997" s="24"/>
    </row>
    <row r="998" spans="1:3" ht="14">
      <c r="A998" s="25"/>
      <c r="C998" s="24"/>
    </row>
    <row r="999" spans="1:3" ht="14">
      <c r="A999" s="25"/>
      <c r="C999" s="24"/>
    </row>
    <row r="1000" spans="1:3" ht="14">
      <c r="A1000" s="25"/>
      <c r="C1000" s="24"/>
    </row>
    <row r="1001" spans="1:3" ht="14">
      <c r="A1001" s="25"/>
      <c r="C1001" s="24"/>
    </row>
    <row r="1002" spans="1:3" ht="14">
      <c r="A1002" s="25"/>
      <c r="C1002" s="24"/>
    </row>
    <row r="1003" spans="1:3" ht="14">
      <c r="A1003" s="25"/>
      <c r="C1003" s="24"/>
    </row>
    <row r="1004" spans="1:3" ht="14">
      <c r="A1004" s="25"/>
      <c r="C1004" s="24"/>
    </row>
    <row r="1005" spans="1:3" ht="14">
      <c r="A1005" s="25"/>
      <c r="C1005" s="24"/>
    </row>
    <row r="1006" spans="1:3" ht="14">
      <c r="A1006" s="25"/>
      <c r="C1006" s="24"/>
    </row>
    <row r="1007" spans="1:3" ht="14">
      <c r="A1007" s="25"/>
      <c r="C1007" s="24"/>
    </row>
    <row r="1008" spans="1:3" ht="14">
      <c r="A1008" s="25"/>
      <c r="C1008" s="24"/>
    </row>
    <row r="1009" spans="1:3" ht="14">
      <c r="A1009" s="25"/>
      <c r="C1009" s="24"/>
    </row>
    <row r="1010" spans="1:3" ht="14">
      <c r="A1010" s="25"/>
      <c r="C1010" s="24"/>
    </row>
    <row r="1011" spans="1:3" ht="14">
      <c r="A1011" s="25"/>
      <c r="C1011" s="24"/>
    </row>
    <row r="1012" spans="1:3" ht="14">
      <c r="A1012" s="25"/>
      <c r="C1012" s="24"/>
    </row>
    <row r="1013" spans="1:3" ht="14">
      <c r="A1013" s="25"/>
      <c r="C1013" s="24"/>
    </row>
    <row r="1014" spans="1:3" ht="14">
      <c r="A1014" s="25"/>
      <c r="C1014" s="24"/>
    </row>
    <row r="1015" spans="1:3" ht="14">
      <c r="A1015" s="25"/>
      <c r="C1015" s="24"/>
    </row>
    <row r="1016" spans="1:3" ht="14">
      <c r="A1016" s="25"/>
      <c r="C1016" s="24"/>
    </row>
    <row r="1017" spans="1:3" ht="14">
      <c r="A1017" s="25"/>
      <c r="C1017" s="24"/>
    </row>
    <row r="1018" spans="1:3" ht="14">
      <c r="A1018" s="25"/>
      <c r="C1018" s="24"/>
    </row>
    <row r="1019" spans="1:3" ht="14">
      <c r="A1019" s="25"/>
      <c r="C1019" s="24"/>
    </row>
    <row r="1020" spans="1:3" ht="14">
      <c r="A1020" s="25"/>
      <c r="C1020" s="24"/>
    </row>
    <row r="1021" spans="1:3" ht="14">
      <c r="A1021" s="25"/>
      <c r="C1021" s="24"/>
    </row>
    <row r="1022" spans="1:3" ht="14">
      <c r="A1022" s="25"/>
      <c r="C1022" s="24"/>
    </row>
    <row r="1023" spans="1:3" ht="14">
      <c r="A1023" s="25"/>
      <c r="C1023" s="24"/>
    </row>
    <row r="1024" spans="1:3" ht="14">
      <c r="A1024" s="25"/>
      <c r="C1024" s="24"/>
    </row>
    <row r="1025" spans="1:3" ht="14">
      <c r="A1025" s="25"/>
      <c r="C1025" s="24"/>
    </row>
    <row r="1026" spans="1:3" ht="14">
      <c r="A1026" s="25"/>
      <c r="C1026" s="24"/>
    </row>
    <row r="1027" spans="1:3" ht="14">
      <c r="A1027" s="25"/>
      <c r="C1027" s="24"/>
    </row>
    <row r="1028" spans="1:3" ht="14">
      <c r="A1028" s="25"/>
      <c r="C1028" s="24"/>
    </row>
    <row r="1029" spans="1:3" ht="14">
      <c r="A1029" s="25"/>
      <c r="C1029" s="24"/>
    </row>
    <row r="1030" spans="1:3" ht="14">
      <c r="A1030" s="25"/>
      <c r="C1030" s="24"/>
    </row>
    <row r="1031" spans="1:3" ht="14">
      <c r="A1031" s="25"/>
      <c r="C1031" s="24"/>
    </row>
    <row r="1032" spans="1:3" ht="14">
      <c r="A1032" s="25"/>
      <c r="C1032" s="24"/>
    </row>
    <row r="1033" spans="1:3" ht="14">
      <c r="A1033" s="25"/>
      <c r="C1033" s="24"/>
    </row>
    <row r="1034" spans="1:3" ht="14">
      <c r="A1034" s="25"/>
      <c r="C1034" s="24"/>
    </row>
    <row r="1035" spans="1:3" ht="14">
      <c r="A1035" s="25"/>
      <c r="C1035" s="24"/>
    </row>
    <row r="1036" spans="1:3" ht="14">
      <c r="A1036" s="25"/>
      <c r="C1036" s="24"/>
    </row>
    <row r="1037" spans="1:3" ht="14">
      <c r="A1037" s="25"/>
      <c r="C1037" s="24"/>
    </row>
    <row r="1038" spans="1:3" ht="14">
      <c r="A1038" s="25"/>
      <c r="C1038" s="24"/>
    </row>
    <row r="1039" spans="1:3" ht="14">
      <c r="A1039" s="25"/>
      <c r="C1039" s="24"/>
    </row>
    <row r="1040" spans="1:3" ht="14">
      <c r="A1040" s="25"/>
      <c r="C1040" s="24"/>
    </row>
    <row r="1041" spans="1:3" ht="14">
      <c r="A1041" s="25"/>
      <c r="C1041" s="24"/>
    </row>
    <row r="1042" spans="1:3" ht="14">
      <c r="A1042" s="25"/>
      <c r="C1042" s="24"/>
    </row>
    <row r="1043" spans="1:3" ht="14">
      <c r="A1043" s="25"/>
      <c r="C1043" s="24"/>
    </row>
    <row r="1044" spans="1:3" ht="14">
      <c r="A1044" s="25"/>
      <c r="C1044" s="24"/>
    </row>
    <row r="1045" spans="1:3" ht="14">
      <c r="A1045" s="25"/>
      <c r="C1045" s="24"/>
    </row>
    <row r="1046" spans="1:3" ht="14">
      <c r="A1046" s="25"/>
      <c r="C1046" s="24"/>
    </row>
    <row r="1047" spans="1:3" ht="14">
      <c r="A1047" s="25"/>
      <c r="C1047" s="24"/>
    </row>
    <row r="1048" spans="1:3" ht="14">
      <c r="A1048" s="25"/>
      <c r="C1048" s="24"/>
    </row>
    <row r="1049" spans="1:3" ht="14">
      <c r="A1049" s="25"/>
      <c r="C1049" s="24"/>
    </row>
    <row r="1050" spans="1:3" ht="14">
      <c r="A1050" s="25"/>
      <c r="C1050" s="24"/>
    </row>
    <row r="1051" spans="1:3" ht="14">
      <c r="A1051" s="25"/>
      <c r="C1051" s="24"/>
    </row>
    <row r="1052" spans="1:3" ht="14">
      <c r="A1052" s="25"/>
      <c r="C1052" s="24"/>
    </row>
    <row r="1053" spans="1:3" ht="14">
      <c r="A1053" s="25"/>
      <c r="C1053" s="24"/>
    </row>
    <row r="1054" spans="1:3" ht="14">
      <c r="A1054" s="25"/>
      <c r="C1054" s="24"/>
    </row>
    <row r="1055" spans="1:3" ht="14">
      <c r="A1055" s="25"/>
      <c r="C1055" s="24"/>
    </row>
    <row r="1056" spans="1:3" ht="14">
      <c r="A1056" s="25"/>
      <c r="C1056" s="24"/>
    </row>
    <row r="1057" spans="1:3" ht="14">
      <c r="A1057" s="25"/>
      <c r="C1057" s="24"/>
    </row>
    <row r="1058" spans="1:3" ht="14">
      <c r="A1058" s="25"/>
      <c r="C1058" s="24"/>
    </row>
    <row r="1059" spans="1:3" ht="14">
      <c r="A1059" s="25"/>
      <c r="C1059" s="24"/>
    </row>
    <row r="1060" spans="1:3" ht="14">
      <c r="A1060" s="25"/>
      <c r="C1060" s="24"/>
    </row>
    <row r="1061" spans="1:3" ht="14">
      <c r="A1061" s="25"/>
      <c r="C1061" s="24"/>
    </row>
    <row r="1062" spans="1:3" ht="14">
      <c r="A1062" s="25"/>
      <c r="C1062" s="24"/>
    </row>
    <row r="1063" spans="1:3" ht="14">
      <c r="A1063" s="25"/>
      <c r="C1063" s="24"/>
    </row>
    <row r="1064" spans="1:3" ht="14">
      <c r="A1064" s="25"/>
      <c r="C1064" s="24"/>
    </row>
    <row r="1065" spans="1:3" ht="14">
      <c r="A1065" s="25"/>
      <c r="C1065" s="24"/>
    </row>
    <row r="1066" spans="1:3" ht="14">
      <c r="A1066" s="25"/>
      <c r="C1066" s="24"/>
    </row>
    <row r="1067" spans="1:3" ht="14">
      <c r="A1067" s="25"/>
      <c r="C1067" s="24"/>
    </row>
    <row r="1068" spans="1:3" ht="14">
      <c r="A1068" s="25"/>
      <c r="C1068" s="24"/>
    </row>
    <row r="1069" spans="1:3" ht="14">
      <c r="A1069" s="25"/>
      <c r="C1069" s="24"/>
    </row>
    <row r="1070" spans="1:3" ht="14">
      <c r="A1070" s="25"/>
      <c r="C1070" s="24"/>
    </row>
    <row r="1071" spans="1:3" ht="14">
      <c r="A1071" s="25"/>
      <c r="C1071" s="24"/>
    </row>
    <row r="1072" spans="1:3" ht="14">
      <c r="A1072" s="25"/>
      <c r="C1072" s="24"/>
    </row>
    <row r="1073" spans="1:3" ht="14">
      <c r="A1073" s="25"/>
      <c r="C1073" s="24"/>
    </row>
    <row r="1074" spans="1:3" ht="14">
      <c r="A1074" s="25"/>
      <c r="C1074" s="24"/>
    </row>
    <row r="1075" spans="1:3" ht="14">
      <c r="A1075" s="25"/>
      <c r="C1075" s="24"/>
    </row>
    <row r="1076" spans="1:3" ht="14">
      <c r="A1076" s="25"/>
      <c r="C1076" s="24"/>
    </row>
    <row r="1077" spans="1:3" ht="14">
      <c r="A1077" s="25"/>
      <c r="C1077" s="24"/>
    </row>
    <row r="1078" spans="1:3" ht="14">
      <c r="A1078" s="25"/>
      <c r="C1078" s="24"/>
    </row>
    <row r="1079" spans="1:3" ht="14">
      <c r="A1079" s="25"/>
      <c r="C1079" s="24"/>
    </row>
    <row r="1080" spans="1:3" ht="14">
      <c r="A1080" s="25"/>
      <c r="C1080" s="24"/>
    </row>
    <row r="1081" spans="1:3" ht="14">
      <c r="A1081" s="25"/>
      <c r="C1081" s="24"/>
    </row>
    <row r="1082" spans="1:3" ht="14">
      <c r="A1082" s="25"/>
      <c r="C1082" s="24"/>
    </row>
    <row r="1083" spans="1:3" ht="14">
      <c r="A1083" s="25"/>
      <c r="C1083" s="24"/>
    </row>
    <row r="1084" spans="1:3" ht="14">
      <c r="A1084" s="25"/>
      <c r="C1084" s="24"/>
    </row>
    <row r="1085" spans="1:3" ht="14">
      <c r="A1085" s="25"/>
      <c r="C1085" s="24"/>
    </row>
    <row r="1086" spans="1:3" ht="14">
      <c r="A1086" s="25"/>
      <c r="C1086" s="24"/>
    </row>
    <row r="1087" spans="1:3" ht="14">
      <c r="A1087" s="25"/>
      <c r="C1087" s="24"/>
    </row>
    <row r="1088" spans="1:3" ht="14">
      <c r="A1088" s="25"/>
      <c r="C1088" s="24"/>
    </row>
    <row r="1089" spans="1:3" ht="14">
      <c r="A1089" s="25"/>
      <c r="C1089" s="24"/>
    </row>
    <row r="1090" spans="1:3" ht="14">
      <c r="A1090" s="25"/>
      <c r="C1090" s="24"/>
    </row>
    <row r="1091" spans="1:3" ht="14">
      <c r="A1091" s="25"/>
      <c r="C1091" s="24"/>
    </row>
    <row r="1092" spans="1:3" ht="14">
      <c r="A1092" s="25"/>
      <c r="C1092" s="24"/>
    </row>
    <row r="1093" spans="1:3" ht="14">
      <c r="A1093" s="25"/>
      <c r="C1093" s="24"/>
    </row>
    <row r="1094" spans="1:3" ht="14">
      <c r="A1094" s="25"/>
      <c r="C1094" s="24"/>
    </row>
    <row r="1095" spans="1:3" ht="14">
      <c r="A1095" s="25"/>
      <c r="C1095" s="24"/>
    </row>
    <row r="1096" spans="1:3" ht="14">
      <c r="A1096" s="25"/>
      <c r="C1096" s="24"/>
    </row>
    <row r="1097" spans="1:3" ht="14">
      <c r="A1097" s="25"/>
      <c r="C1097" s="24"/>
    </row>
    <row r="1098" spans="1:3" ht="14">
      <c r="A1098" s="25"/>
      <c r="C1098" s="24"/>
    </row>
    <row r="1099" spans="1:3" ht="14">
      <c r="A1099" s="25"/>
      <c r="C1099" s="24"/>
    </row>
    <row r="1100" spans="1:3" ht="14">
      <c r="A1100" s="25"/>
      <c r="C1100" s="24"/>
    </row>
    <row r="1101" spans="1:3" ht="14">
      <c r="A1101" s="25"/>
      <c r="C1101" s="24"/>
    </row>
    <row r="1102" spans="1:3" ht="14">
      <c r="A1102" s="25"/>
      <c r="C1102" s="24"/>
    </row>
    <row r="1103" spans="1:3" ht="14">
      <c r="A1103" s="25"/>
      <c r="C1103" s="24"/>
    </row>
    <row r="1104" spans="1:3" ht="14">
      <c r="A1104" s="25"/>
      <c r="C1104" s="24"/>
    </row>
    <row r="1105" spans="1:3" ht="14">
      <c r="A1105" s="25"/>
      <c r="C1105" s="24"/>
    </row>
    <row r="1106" spans="1:3" ht="14">
      <c r="A1106" s="25"/>
      <c r="C1106" s="24"/>
    </row>
    <row r="1107" spans="1:3" ht="14">
      <c r="A1107" s="25"/>
      <c r="C1107" s="24"/>
    </row>
    <row r="1108" spans="1:3" ht="14">
      <c r="A1108" s="25"/>
      <c r="C1108" s="24"/>
    </row>
    <row r="1109" spans="1:3" ht="14">
      <c r="A1109" s="25"/>
      <c r="C1109" s="24"/>
    </row>
    <row r="1110" spans="1:3" ht="14">
      <c r="A1110" s="25"/>
      <c r="C1110" s="24"/>
    </row>
    <row r="1111" spans="1:3" ht="14">
      <c r="A1111" s="25"/>
      <c r="C1111" s="24"/>
    </row>
    <row r="1112" spans="1:3" ht="14">
      <c r="A1112" s="25"/>
      <c r="C1112" s="24"/>
    </row>
    <row r="1113" spans="1:3" ht="14">
      <c r="A1113" s="25"/>
      <c r="C1113" s="24"/>
    </row>
    <row r="1114" spans="1:3" ht="14">
      <c r="A1114" s="25"/>
      <c r="C1114" s="24"/>
    </row>
    <row r="1115" spans="1:3" ht="14">
      <c r="A1115" s="25"/>
      <c r="C1115" s="24"/>
    </row>
    <row r="1116" spans="1:3" ht="14">
      <c r="A1116" s="25"/>
      <c r="C1116" s="24"/>
    </row>
    <row r="1117" spans="1:3" ht="14">
      <c r="A1117" s="25"/>
      <c r="C1117" s="24"/>
    </row>
    <row r="1118" spans="1:3" ht="14">
      <c r="A1118" s="25"/>
      <c r="C1118" s="24"/>
    </row>
    <row r="1119" spans="1:3" ht="14">
      <c r="A1119" s="25"/>
      <c r="C1119" s="24"/>
    </row>
    <row r="1120" spans="1:3" ht="14">
      <c r="A1120" s="25"/>
      <c r="C1120" s="24"/>
    </row>
    <row r="1121" spans="1:3" ht="14">
      <c r="A1121" s="25"/>
      <c r="C1121" s="24"/>
    </row>
    <row r="1122" spans="1:3" ht="14">
      <c r="A1122" s="25"/>
      <c r="C1122" s="24"/>
    </row>
    <row r="1123" spans="1:3" ht="14">
      <c r="A1123" s="25"/>
      <c r="C1123" s="24"/>
    </row>
    <row r="1124" spans="1:3" ht="14">
      <c r="A1124" s="25"/>
      <c r="C1124" s="24"/>
    </row>
    <row r="1125" spans="1:3" ht="14">
      <c r="A1125" s="25"/>
      <c r="C1125" s="24"/>
    </row>
    <row r="1126" spans="1:3" ht="14">
      <c r="A1126" s="25"/>
      <c r="C1126" s="24"/>
    </row>
    <row r="1127" spans="1:3" ht="14">
      <c r="A1127" s="25"/>
      <c r="C1127" s="24"/>
    </row>
    <row r="1128" spans="1:3" ht="14">
      <c r="A1128" s="25"/>
      <c r="C1128" s="24"/>
    </row>
    <row r="1129" spans="1:3" ht="14">
      <c r="A1129" s="25"/>
      <c r="C1129" s="24"/>
    </row>
    <row r="1130" spans="1:3" ht="14">
      <c r="A1130" s="25"/>
      <c r="C1130" s="24"/>
    </row>
    <row r="1131" spans="1:3" ht="14">
      <c r="A1131" s="25"/>
      <c r="C1131" s="24"/>
    </row>
    <row r="1132" spans="1:3" ht="14">
      <c r="A1132" s="25"/>
      <c r="C1132" s="24"/>
    </row>
    <row r="1133" spans="1:3" ht="14">
      <c r="A1133" s="25"/>
      <c r="C1133" s="24"/>
    </row>
    <row r="1134" spans="1:3" ht="14">
      <c r="A1134" s="25"/>
      <c r="C1134" s="24"/>
    </row>
    <row r="1135" spans="1:3" ht="14">
      <c r="A1135" s="25"/>
      <c r="C1135" s="24"/>
    </row>
    <row r="1136" spans="1:3" ht="14">
      <c r="A1136" s="25"/>
      <c r="C1136" s="24"/>
    </row>
    <row r="1137" spans="1:3" ht="14">
      <c r="A1137" s="25"/>
      <c r="C1137" s="24"/>
    </row>
    <row r="1138" spans="1:3" ht="14">
      <c r="A1138" s="25"/>
      <c r="C1138" s="24"/>
    </row>
    <row r="1139" spans="1:3" ht="14">
      <c r="A1139" s="25"/>
      <c r="C1139" s="24"/>
    </row>
    <row r="1140" spans="1:3" ht="14">
      <c r="A1140" s="25"/>
      <c r="C1140" s="24"/>
    </row>
    <row r="1141" spans="1:3" ht="14">
      <c r="A1141" s="25"/>
      <c r="C1141" s="24"/>
    </row>
    <row r="1142" spans="1:3" ht="14">
      <c r="A1142" s="25"/>
      <c r="C1142" s="24"/>
    </row>
    <row r="1143" spans="1:3" ht="14">
      <c r="A1143" s="25"/>
      <c r="C1143" s="24"/>
    </row>
    <row r="1144" spans="1:3" ht="14">
      <c r="A1144" s="25"/>
      <c r="C1144" s="24"/>
    </row>
    <row r="1145" spans="1:3" ht="14">
      <c r="A1145" s="25"/>
      <c r="C1145" s="24"/>
    </row>
    <row r="1146" spans="1:3" ht="14">
      <c r="A1146" s="25"/>
      <c r="C1146" s="24"/>
    </row>
    <row r="1147" spans="1:3" ht="14">
      <c r="A1147" s="25"/>
      <c r="C1147" s="24"/>
    </row>
    <row r="1148" spans="1:3" ht="14">
      <c r="A1148" s="25"/>
      <c r="C1148" s="24"/>
    </row>
    <row r="1149" spans="1:3" ht="14">
      <c r="A1149" s="25"/>
      <c r="C1149" s="24"/>
    </row>
    <row r="1150" spans="1:3" ht="14">
      <c r="A1150" s="25"/>
      <c r="C1150" s="24"/>
    </row>
    <row r="1151" spans="1:3" ht="14">
      <c r="A1151" s="25"/>
      <c r="C1151" s="24"/>
    </row>
    <row r="1152" spans="1:3" ht="14">
      <c r="A1152" s="25"/>
      <c r="C1152" s="24"/>
    </row>
    <row r="1153" spans="1:3" ht="14">
      <c r="A1153" s="25"/>
      <c r="C1153" s="24"/>
    </row>
    <row r="1154" spans="1:3" ht="14">
      <c r="A1154" s="25"/>
      <c r="C1154" s="24"/>
    </row>
    <row r="1155" spans="1:3" ht="14">
      <c r="A1155" s="25"/>
      <c r="C1155" s="24"/>
    </row>
    <row r="1156" spans="1:3" ht="14">
      <c r="A1156" s="25"/>
      <c r="C1156" s="24"/>
    </row>
    <row r="1157" spans="1:3" ht="14">
      <c r="A1157" s="25"/>
      <c r="C1157" s="24"/>
    </row>
    <row r="1158" spans="1:3" ht="14">
      <c r="A1158" s="25"/>
      <c r="C1158" s="24"/>
    </row>
    <row r="1159" spans="1:3" ht="14">
      <c r="A1159" s="25"/>
      <c r="C1159" s="24"/>
    </row>
    <row r="1160" spans="1:3" ht="14">
      <c r="A1160" s="25"/>
      <c r="C1160" s="24"/>
    </row>
    <row r="1161" spans="1:3" ht="14">
      <c r="A1161" s="25"/>
      <c r="C1161" s="24"/>
    </row>
    <row r="1162" spans="1:3" ht="14">
      <c r="A1162" s="25"/>
      <c r="C1162" s="24"/>
    </row>
    <row r="1163" spans="1:3" ht="14">
      <c r="A1163" s="25"/>
      <c r="C1163" s="24"/>
    </row>
    <row r="1164" spans="1:3" ht="14">
      <c r="A1164" s="25"/>
      <c r="C1164" s="24"/>
    </row>
    <row r="1165" spans="1:3" ht="14">
      <c r="A1165" s="25"/>
      <c r="C1165" s="24"/>
    </row>
    <row r="1166" spans="1:3" ht="14">
      <c r="A1166" s="25"/>
      <c r="C1166" s="24"/>
    </row>
    <row r="1167" spans="1:3" ht="14">
      <c r="A1167" s="25"/>
      <c r="C1167" s="24"/>
    </row>
    <row r="1168" spans="1:3" ht="14">
      <c r="A1168" s="25"/>
      <c r="C1168" s="24"/>
    </row>
    <row r="1169" spans="1:3" ht="14">
      <c r="A1169" s="25"/>
      <c r="C1169" s="24"/>
    </row>
    <row r="1170" spans="1:3" ht="14">
      <c r="A1170" s="25"/>
      <c r="C1170" s="24"/>
    </row>
    <row r="1171" spans="1:3" ht="14">
      <c r="A1171" s="25"/>
      <c r="C1171" s="24"/>
    </row>
    <row r="1172" spans="1:3" ht="14">
      <c r="A1172" s="25"/>
      <c r="C1172" s="24"/>
    </row>
    <row r="1173" spans="1:3" ht="14">
      <c r="A1173" s="25"/>
      <c r="C1173" s="24"/>
    </row>
    <row r="1174" spans="1:3" ht="14">
      <c r="A1174" s="25"/>
      <c r="C1174" s="24"/>
    </row>
    <row r="1175" spans="1:3" ht="14">
      <c r="A1175" s="25"/>
      <c r="C1175" s="24"/>
    </row>
    <row r="1176" spans="1:3" ht="14">
      <c r="A1176" s="25"/>
      <c r="C1176" s="24"/>
    </row>
    <row r="1177" spans="1:3" ht="14">
      <c r="A1177" s="25"/>
      <c r="C1177" s="24"/>
    </row>
    <row r="1178" spans="1:3" ht="14">
      <c r="A1178" s="25"/>
      <c r="C1178" s="24"/>
    </row>
    <row r="1179" spans="1:3" ht="14">
      <c r="A1179" s="25"/>
      <c r="C1179" s="24"/>
    </row>
    <row r="1180" spans="1:3" ht="14">
      <c r="A1180" s="25"/>
      <c r="C1180" s="24"/>
    </row>
    <row r="1181" spans="1:3" ht="14">
      <c r="A1181" s="25"/>
      <c r="C1181" s="24"/>
    </row>
    <row r="1182" spans="1:3" ht="14">
      <c r="A1182" s="25"/>
      <c r="C1182" s="24"/>
    </row>
    <row r="1183" spans="1:3" ht="14">
      <c r="A1183" s="25"/>
      <c r="C1183" s="24"/>
    </row>
    <row r="1184" spans="1:3" ht="14">
      <c r="A1184" s="25"/>
      <c r="C1184" s="24"/>
    </row>
    <row r="1185" spans="1:3" ht="14">
      <c r="A1185" s="25"/>
      <c r="C1185" s="24"/>
    </row>
    <row r="1186" spans="1:3" ht="14">
      <c r="A1186" s="25"/>
      <c r="C1186" s="24"/>
    </row>
    <row r="1187" spans="1:3" ht="14">
      <c r="A1187" s="25"/>
      <c r="C1187" s="24"/>
    </row>
    <row r="1188" spans="1:3" ht="14">
      <c r="A1188" s="25"/>
      <c r="C1188" s="24"/>
    </row>
    <row r="1189" spans="1:3" ht="14">
      <c r="A1189" s="25"/>
      <c r="C1189" s="24"/>
    </row>
    <row r="1190" spans="1:3" ht="14">
      <c r="A1190" s="25"/>
      <c r="C1190" s="24"/>
    </row>
    <row r="1191" spans="1:3" ht="14">
      <c r="A1191" s="25"/>
      <c r="C1191" s="24"/>
    </row>
    <row r="1192" spans="1:3" ht="14">
      <c r="A1192" s="25"/>
      <c r="C1192" s="24"/>
    </row>
    <row r="1193" spans="1:3" ht="14">
      <c r="A1193" s="25"/>
      <c r="C1193" s="24"/>
    </row>
    <row r="1194" spans="1:3" ht="14">
      <c r="A1194" s="25"/>
      <c r="C1194" s="24"/>
    </row>
    <row r="1195" spans="1:3" ht="14">
      <c r="A1195" s="25"/>
      <c r="C1195" s="24"/>
    </row>
    <row r="1196" spans="1:3" ht="14">
      <c r="A1196" s="25"/>
      <c r="C1196" s="24"/>
    </row>
    <row r="1197" spans="1:3" ht="14">
      <c r="A1197" s="25"/>
      <c r="C1197" s="24"/>
    </row>
    <row r="1198" spans="1:3" ht="14">
      <c r="A1198" s="25"/>
      <c r="C1198" s="24"/>
    </row>
    <row r="1199" spans="1:3" ht="14">
      <c r="A1199" s="25"/>
      <c r="C1199" s="24"/>
    </row>
    <row r="1200" spans="1:3" ht="14">
      <c r="A1200" s="25"/>
      <c r="C1200" s="24"/>
    </row>
    <row r="1201" spans="1:3" ht="14">
      <c r="A1201" s="25"/>
      <c r="C1201" s="24"/>
    </row>
    <row r="1202" spans="1:3" ht="14">
      <c r="A1202" s="25"/>
      <c r="C1202" s="24"/>
    </row>
    <row r="1203" spans="1:3" ht="14">
      <c r="A1203" s="25"/>
      <c r="C1203" s="24"/>
    </row>
    <row r="1204" spans="1:3" ht="14">
      <c r="A1204" s="25"/>
      <c r="C1204" s="24"/>
    </row>
    <row r="1205" spans="1:3" ht="14">
      <c r="A1205" s="25"/>
      <c r="C1205" s="24"/>
    </row>
  </sheetData>
  <autoFilter ref="A1:I379" xr:uid="{00000000-0009-0000-0000-000006000000}"/>
  <customSheetViews>
    <customSheetView guid="{CD01A12A-D4E4-447C-9261-FE38C9B00FF9}" filter="1" showAutoFilter="1">
      <pageMargins left="0.7" right="0.7" top="0.75" bottom="0.75" header="0.3" footer="0.3"/>
      <autoFilter ref="A1:A1205" xr:uid="{00000000-0000-0000-0000-000000000000}"/>
    </customSheetView>
  </customSheetViews>
  <hyperlinks>
    <hyperlink ref="A20" r:id="rId1" display="https://www.mlforhc.org/s/Tonekaboni_S" xr:uid="{00000000-0004-0000-0600-000000000000}"/>
    <hyperlink ref="A21" r:id="rId2" display="https://www.mlforhc.org/s/1.pdf" xr:uid="{00000000-0004-0000-0600-000001000000}"/>
    <hyperlink ref="A22" r:id="rId3" display="https://www.mlforhc.org/s/2.pdf" xr:uid="{00000000-0004-0000-0600-000002000000}"/>
    <hyperlink ref="A23" r:id="rId4" display="https://www.mlforhc.org/s/3.pdf" xr:uid="{00000000-0004-0000-0600-000003000000}"/>
    <hyperlink ref="A28" r:id="rId5" display="https://www.mlforhc.org/s/8.pdf" xr:uid="{00000000-0004-0000-0600-000004000000}"/>
    <hyperlink ref="A29" r:id="rId6" display="https://www.mlforhc.org/s/9.pdf" xr:uid="{00000000-0004-0000-0600-000005000000}"/>
    <hyperlink ref="A31" r:id="rId7" display="https://www.mlforhc.org/s/11.pdf" xr:uid="{00000000-0004-0000-0600-000006000000}"/>
    <hyperlink ref="A32" r:id="rId8" display="https://www.mlforhc.org/s/12.pdf" xr:uid="{00000000-0004-0000-0600-000007000000}"/>
    <hyperlink ref="A33" r:id="rId9" display="https://www.mlforhc.org/s/13.pdf" xr:uid="{00000000-0004-0000-0600-000008000000}"/>
    <hyperlink ref="A38" r:id="rId10" display="https://www.mlforhc.org/s/18.pdf" xr:uid="{00000000-0004-0000-0600-000009000000}"/>
    <hyperlink ref="A39" r:id="rId11" display="https://www.mlforhc.org/s/19.pdf" xr:uid="{00000000-0004-0000-0600-00000A000000}"/>
    <hyperlink ref="A42" r:id="rId12" display="https://www.mlforhc.org/s/22.pdf" xr:uid="{00000000-0004-0000-0600-00000B000000}"/>
    <hyperlink ref="A43" r:id="rId13" display="https://www.mlforhc.org/s/23.pdf" xr:uid="{00000000-0004-0000-0600-00000C000000}"/>
    <hyperlink ref="A45" r:id="rId14" display="https://www.mlforhc.org/s/25.pdf" xr:uid="{00000000-0004-0000-0600-00000D000000}"/>
    <hyperlink ref="A47" r:id="rId15" display="https://www.mlforhc.org/s/28.pdf" xr:uid="{00000000-0004-0000-0600-00000E000000}"/>
    <hyperlink ref="A48" r:id="rId16" display="https://www.mlforhc.org/s/29.pdf" xr:uid="{00000000-0004-0000-0600-00000F000000}"/>
    <hyperlink ref="A50" r:id="rId17" display="https://www.mlforhc.org/s/31.pdf" xr:uid="{00000000-0004-0000-0600-000010000000}"/>
    <hyperlink ref="A51" r:id="rId18" display="http://mucmd.org/CameraReadySubmissions/1%5CCameraReadySubmission%5Cpcpas.pdf" xr:uid="{00000000-0004-0000-0600-000011000000}"/>
    <hyperlink ref="A52" r:id="rId19" display="http://mucmd.org/CameraReadySubmissions/4%5CCameraReadySubmission%5CP_Farnoosh_Sparse_MLHC_2017.pdf" xr:uid="{00000000-0004-0000-0600-000012000000}"/>
    <hyperlink ref="A53" r:id="rId20" display="http://mucmd.org/CameraReadySubmissions/9%5CCameraReadySubmission%5CCLC_camera_ready.pdf" xr:uid="{00000000-0004-0000-0600-000013000000}"/>
    <hyperlink ref="A54" r:id="rId21" display="http://mucmd.org/CameraReadySubmissions/13%5CCameraReadySubmission%5CSubmission 13 - Forte et al..pdf" xr:uid="{00000000-0004-0000-0600-000014000000}"/>
    <hyperlink ref="A55" r:id="rId22" display="http://mucmd.org/CameraReadySubmissions/16_short_fuse_paper(1).pdf" xr:uid="{00000000-0004-0000-0600-000015000000}"/>
    <hyperlink ref="A56" r:id="rId23" display="http://mucmd.org/CameraReadySubmissions/23%5CCameraReadySubmission%5C0023.pdf" xr:uid="{00000000-0004-0000-0600-000016000000}"/>
    <hyperlink ref="A57" r:id="rId24" display="http://mucmd.org/CameraReadySubmissions/25%5CCameraReadySubmission%5Csample.pdf" xr:uid="{00000000-0004-0000-0600-000017000000}"/>
    <hyperlink ref="A58" r:id="rId25" display="http://mucmd.org/CameraReadySubmissions/26%5CCameraReadySubmission%5Ccamera-ready-predicting(3).pdf" xr:uid="{00000000-0004-0000-0600-000018000000}"/>
    <hyperlink ref="A59" r:id="rId26" display="http://mucmd.org/CameraReadySubmissions/27%5CCameraReadySubmission%5CFiorini_etal_MLHC2017.pdf" xr:uid="{00000000-0004-0000-0600-000019000000}"/>
    <hyperlink ref="A60" r:id="rId27" display="http://mucmd.org/CameraReadySubmissions/31%5CCameraReadySubmission%5Cclustering-patients-tensor-full.pdf" xr:uid="{00000000-0004-0000-0600-00001A000000}"/>
    <hyperlink ref="A61" r:id="rId28" display="http://mucmd.org/CameraReadySubmissions/34%5CCameraReadySubmission%5Ccontinuous-state-space _FINAL.pdf" xr:uid="{00000000-0004-0000-0600-00001B000000}"/>
    <hyperlink ref="A62" r:id="rId29" display="http://mucmd.org/CameraReadySubmissions/37%5CCameraReadySubmission%5CPFS_TTRNN_AFT_CameraReady.pdf" xr:uid="{00000000-0004-0000-0600-00001C000000}"/>
    <hyperlink ref="A63" r:id="rId30" display="http://mucmd.org/CameraReadySubmissions/40%5CCameraReadySubmission%5Cpatient_similarity.pdf" xr:uid="{00000000-0004-0000-0600-00001D000000}"/>
    <hyperlink ref="A64" r:id="rId31" display="http://mucmd.org/CameraReadySubmissions/46%5CCameraReadySubmission%5Cmain.pdf" xr:uid="{00000000-0004-0000-0600-00001E000000}"/>
    <hyperlink ref="A65" r:id="rId32" display="http://mucmd.org/CameraReadySubmissions/51%5CCameraReadySubmission%5Cjahja_lizotte_tolerance.pdf" xr:uid="{00000000-0004-0000-0600-00001F000000}"/>
    <hyperlink ref="A66" r:id="rId33" display="http://mucmd.org/CameraReadySubmissions/52%5CCameraReadySubmission%5CMLHC_2017_FINAL_cameraready.pdf" xr:uid="{00000000-0004-0000-0600-000020000000}"/>
    <hyperlink ref="A67" r:id="rId34" display="http://mucmd.org/CameraReadySubmissions/53%5CCameraReadySubmission%5CCR.pdf" xr:uid="{00000000-0004-0000-0600-000021000000}"/>
    <hyperlink ref="A68" r:id="rId35" display="http://mucmd.org/CameraReadySubmissions/54%5CCameraReadySubmission%5Cmucmd_edited.pdf" xr:uid="{00000000-0004-0000-0600-000022000000}"/>
    <hyperlink ref="A69" r:id="rId36" display="http://mucmd.org/CameraReadySubmissions/60%5CCameraReadySubmission%5Ccamera-ready_DRL_concept-extract_v2.pdf" xr:uid="{00000000-0004-0000-0600-000023000000}"/>
    <hyperlink ref="A70" r:id="rId37" display="http://mucmd.org/CameraReadySubmissions/62%5CCameraReadySubmission%5Cmedgan-mlhc-2017.pdf" xr:uid="{00000000-0004-0000-0600-000024000000}"/>
    <hyperlink ref="A71" r:id="rId38" display="http://mucmd.org/CameraReadySubmissions/63%5CCameraReadySubmission%5Cmlhc_2017.pdf" xr:uid="{00000000-0004-0000-0600-000025000000}"/>
    <hyperlink ref="A72" r:id="rId39" display="http://mucmd.org/CameraReadySubmissions/65%5CCameraReadySubmission%5Cclinical-intervention-prediction (4).pdf" xr:uid="{00000000-0004-0000-0600-000026000000}"/>
    <hyperlink ref="A73" r:id="rId40" display="http://mucmd.org/CameraReadySubmissions/67%5CCameraReadySubmission%5Cunderstanding-coagulopathy-multi (6).pdf" xr:uid="{00000000-0004-0000-0600-000027000000}"/>
    <hyperlink ref="A74" r:id="rId41" display="http://mucmd.org/CameraReadySubmissions/76%5CCameraReadySubmission%5CMLHC.pdf" xr:uid="{00000000-0004-0000-0600-000028000000}"/>
    <hyperlink ref="A75" r:id="rId42" display="http://mucmd.org/CameraReadySubmissions/77_reproducibility-critical-care.pdf" xr:uid="{00000000-0004-0000-0600-000029000000}"/>
    <hyperlink ref="A76" r:id="rId43" display="https://arxiv.org/pdf/1807.02617.pdf" xr:uid="{00000000-0004-0000-0600-00002A000000}"/>
    <hyperlink ref="A77" r:id="rId44" display="https://arxiv.org/pdf/1807.03633.pdf" xr:uid="{00000000-0004-0000-0600-00002B000000}"/>
    <hyperlink ref="A78" r:id="rId45" display="http://arxiv.org/pdf/1807.03159.pdf" xr:uid="{00000000-0004-0000-0600-00002C000000}"/>
    <hyperlink ref="A79" r:id="rId46" display="https://arxiv.org/pdf/1808.02602.pdf" xr:uid="{00000000-0004-0000-0600-00002D000000}"/>
    <hyperlink ref="A80" r:id="rId47" display="https://arxiv.org/pdf/1806.09542.pdf" xr:uid="{00000000-0004-0000-0600-00002E000000}"/>
    <hyperlink ref="A81" r:id="rId48" display="http://arxiv.org/pdf/1807.01619.pdf" xr:uid="{00000000-0004-0000-0600-00002F000000}"/>
    <hyperlink ref="A82" r:id="rId49" display="https://arxiv.org/pdf/1807.02442.pdf" xr:uid="{00000000-0004-0000-0600-000030000000}"/>
    <hyperlink ref="A83" r:id="rId50" display="https://arxiv.org/pdf/1807.00637.pdf" xr:uid="{00000000-0004-0000-0600-000031000000}"/>
    <hyperlink ref="A84" r:id="rId51" display="https://arxiv.org/pdf/1807.01705.pdf" xr:uid="{00000000-0004-0000-0600-000032000000}"/>
    <hyperlink ref="A85" r:id="rId52" display="http://arxiv.org/pdf/1807.03179.pdf" xr:uid="{00000000-0004-0000-0600-000033000000}"/>
    <hyperlink ref="A86" r:id="rId53" display="https://arxiv.org/pdf/1807.04077.pdf" xr:uid="{00000000-0004-0000-0600-000034000000}"/>
    <hyperlink ref="A87" r:id="rId54" display="https://arxiv.org/pdf/1807.04667.pdf" xr:uid="{00000000-0004-0000-0600-000035000000}"/>
    <hyperlink ref="A88" r:id="rId55" display="https://arxiv.org/pdf/1806.11189.pdf" xr:uid="{00000000-0004-0000-0600-000036000000}"/>
    <hyperlink ref="A89" r:id="rId56" display="https://arxiv.org/pdf/1807.01000.pdf" xr:uid="{00000000-0004-0000-0600-000037000000}"/>
    <hyperlink ref="A90" r:id="rId57" display="https://arxiv.org/pdf/1806.11345.pdf" xr:uid="{00000000-0004-0000-0600-000038000000}"/>
    <hyperlink ref="A91" r:id="rId58" display="https://arxiv.org/pdf/1807.01514.pdf" xr:uid="{00000000-0004-0000-0600-000039000000}"/>
    <hyperlink ref="A92" r:id="rId59" display="https://arxiv.org/pdf/1807.03095.pdf" xr:uid="{00000000-0004-0000-0600-00003A000000}"/>
    <hyperlink ref="A93" r:id="rId60" display="https://arxiv.org/pdf/1807.02608.pdf" xr:uid="{00000000-0004-0000-0600-00003B000000}"/>
    <hyperlink ref="A94" r:id="rId61" display="https://arxiv.org/pdf/1807.08039.pdf" xr:uid="{00000000-0004-0000-0600-00003C000000}"/>
    <hyperlink ref="A95" r:id="rId62" display="https://arxiv.org/pdf/1808.04411.pdf" xr:uid="{00000000-0004-0000-0600-00003D000000}"/>
    <hyperlink ref="A96" r:id="rId63" display="https://arxiv.org/pdf/1807.02599.pdf" xr:uid="{00000000-0004-0000-0600-00003E000000}"/>
    <hyperlink ref="A176" r:id="rId64" display="https://arxiv.org/abs/1804.11046" xr:uid="{00000000-0004-0000-0600-00003F000000}"/>
    <hyperlink ref="A177" r:id="rId65" display="https://arxiv.org/abs/1811.08803" xr:uid="{00000000-0004-0000-0600-000040000000}"/>
    <hyperlink ref="A179" r:id="rId66" display="http://arxiv.org/abs/1812.01087" xr:uid="{00000000-0004-0000-0600-000041000000}"/>
    <hyperlink ref="A180" r:id="rId67" display="https://arxiv.org/abs/1812.00884" xr:uid="{00000000-0004-0000-0600-000042000000}"/>
    <hyperlink ref="A181" r:id="rId68" display="https://arxiv.org/abs/1811.08943" xr:uid="{00000000-0004-0000-0600-000043000000}"/>
    <hyperlink ref="A182" r:id="rId69" display="https://ml4health.github.io/2018/pages/papers.html" xr:uid="{00000000-0004-0000-0600-000044000000}"/>
    <hyperlink ref="A185" r:id="rId70" display="https://arxiv.org/abs/1811.08633" xr:uid="{00000000-0004-0000-0600-000045000000}"/>
    <hyperlink ref="A186" r:id="rId71" display="https://arxiv.org/abs/1811.10501" xr:uid="{00000000-0004-0000-0600-000046000000}"/>
    <hyperlink ref="A187" r:id="rId72" display="https://arxiv.org/abs/1811.12793" xr:uid="{00000000-0004-0000-0600-000047000000}"/>
    <hyperlink ref="A188" r:id="rId73" display="https://arxiv.org/abs/1811.12194" xr:uid="{00000000-0004-0000-0600-000048000000}"/>
    <hyperlink ref="A189" r:id="rId74" display="https://arxiv.org/abs/1811.10958" xr:uid="{00000000-0004-0000-0600-000049000000}"/>
    <hyperlink ref="A190" r:id="rId75" display="https://arxiv.org/abs/1812.00209" xr:uid="{00000000-0004-0000-0600-00004A000000}"/>
    <hyperlink ref="A192" r:id="rId76" display="https://arxiv.org/abs/1812.00418" xr:uid="{00000000-0004-0000-0600-00004B000000}"/>
    <hyperlink ref="A194" r:id="rId77" display="https://arxiv.org/abs/1811.12589" xr:uid="{00000000-0004-0000-0600-00004C000000}"/>
    <hyperlink ref="A196" r:id="rId78" display="https://arxiv.org/abs/1811.10520" xr:uid="{00000000-0004-0000-0600-00004D000000}"/>
    <hyperlink ref="A197" r:id="rId79" display="https://arxiv.org/abs/1811.12254" xr:uid="{00000000-0004-0000-0600-00004E000000}"/>
    <hyperlink ref="A198" r:id="rId80" display="https://arxiv.org/abs/1812.00058" xr:uid="{00000000-0004-0000-0600-00004F000000}"/>
    <hyperlink ref="A200" r:id="rId81" display="https://arxiv.org/abs/1812.00172" xr:uid="{00000000-0004-0000-0600-000050000000}"/>
    <hyperlink ref="A201" r:id="rId82" display="https://arxiv.org/abs/1811.11920" xr:uid="{00000000-0004-0000-0600-000051000000}"/>
    <hyperlink ref="A202" r:id="rId83" display="https://arxiv.org/abs/1811.10376" xr:uid="{00000000-0004-0000-0600-000052000000}"/>
    <hyperlink ref="A205" r:id="rId84" display="https://arxiv.org/abs/1811.08615" xr:uid="{00000000-0004-0000-0600-000053000000}"/>
    <hyperlink ref="A208" r:id="rId85" display="http://aclweb.org/anthology/N18-1004" xr:uid="{00000000-0004-0000-0600-000054000000}"/>
    <hyperlink ref="A209" r:id="rId86" display="http://aclweb.org/anthology/N18-1003" xr:uid="{00000000-0004-0000-0600-000055000000}"/>
    <hyperlink ref="A210" r:id="rId87" display="http://aclweb.org/anthology/N18-1005" xr:uid="{00000000-0004-0000-0600-000056000000}"/>
    <hyperlink ref="A214" r:id="rId88" display="http://aclweb.org/anthology/D18-1185" xr:uid="{00000000-0004-0000-0600-000057000000}"/>
    <hyperlink ref="A215" r:id="rId89" display="http://aclweb.org/anthology/D18-1133" xr:uid="{00000000-0004-0000-0600-000058000000}"/>
    <hyperlink ref="A216" r:id="rId90" display="http://aclweb.org/anthology/D18-1464" xr:uid="{00000000-0004-0000-0600-000059000000}"/>
    <hyperlink ref="A217" r:id="rId91" display="http://aclweb.org/anthology/N18-1006" xr:uid="{00000000-0004-0000-0600-00005A000000}"/>
    <hyperlink ref="A218" r:id="rId92" display="http://aclweb.org/anthology/N18-1007" xr:uid="{00000000-0004-0000-0600-00005B000000}"/>
    <hyperlink ref="A219" r:id="rId93" display="http://aclweb.org/anthology/N18-1008" xr:uid="{00000000-0004-0000-0600-00005C000000}"/>
    <hyperlink ref="A220" r:id="rId94" display="http://aclweb.org/anthology/D18-1363" xr:uid="{00000000-0004-0000-0600-00005D000000}"/>
    <hyperlink ref="A221" r:id="rId95" display="http://aclweb.org/anthology/D18-1090" xr:uid="{00000000-0004-0000-0600-00005E000000}"/>
    <hyperlink ref="A222" r:id="rId96" display="http://aclweb.org/anthology/D18-1528" xr:uid="{00000000-0004-0000-0600-00005F000000}"/>
    <hyperlink ref="A223" r:id="rId97" display="http://aclweb.org/anthology/P18-3018" xr:uid="{00000000-0004-0000-0600-000060000000}"/>
    <hyperlink ref="A224" r:id="rId98" display="http://aclweb.org/anthology/P18-3015" xr:uid="{00000000-0004-0000-0600-000061000000}"/>
    <hyperlink ref="A225" r:id="rId99" display="http://aclweb.org/anthology/P18-1229" xr:uid="{00000000-0004-0000-0600-000062000000}"/>
    <hyperlink ref="A226" r:id="rId100" display="http://aclweb.org/anthology/D18-1375" xr:uid="{00000000-0004-0000-0600-000063000000}"/>
    <hyperlink ref="A227" r:id="rId101" display="http://aclweb.org/anthology/D18-1103" xr:uid="{00000000-0004-0000-0600-000064000000}"/>
    <hyperlink ref="A228" r:id="rId102" display="http://aclweb.org/anthology/D18-1250" xr:uid="{00000000-0004-0000-0600-000065000000}"/>
    <hyperlink ref="A229" r:id="rId103" display="http://aclweb.org/anthology/P18-1157" xr:uid="{00000000-0004-0000-0600-000066000000}"/>
    <hyperlink ref="A230" r:id="rId104" display="http://aclweb.org/anthology/P18-2087" xr:uid="{00000000-0004-0000-0600-000067000000}"/>
    <hyperlink ref="A231" r:id="rId105" display="http://aclweb.org/anthology/P18-1123" xr:uid="{00000000-0004-0000-0600-000068000000}"/>
    <hyperlink ref="A232" r:id="rId106" display="http://aclweb.org/anthology/N18-1009" xr:uid="{00000000-0004-0000-0600-000069000000}"/>
    <hyperlink ref="A233" r:id="rId107" display="http://aclweb.org/anthology/N18-1010" xr:uid="{00000000-0004-0000-0600-00006A000000}"/>
    <hyperlink ref="A234" r:id="rId108" display="http://aclweb.org/anthology/N18-1011" xr:uid="{00000000-0004-0000-0600-00006B000000}"/>
    <hyperlink ref="A235" r:id="rId109" display="http://aclweb.org/anthology/D18-2020" xr:uid="{00000000-0004-0000-0600-00006C000000}"/>
    <hyperlink ref="A236" r:id="rId110" display="http://aclweb.org/anthology/D18-1236" xr:uid="{00000000-0004-0000-0600-00006D000000}"/>
    <hyperlink ref="A237" r:id="rId111" display="http://aclweb.org/anthology/D18-1218" xr:uid="{00000000-0004-0000-0600-00006E000000}"/>
    <hyperlink ref="A238" r:id="rId112" display="http://aclweb.org/anthology/P18-4001" xr:uid="{00000000-0004-0000-0600-00006F000000}"/>
    <hyperlink ref="A239" r:id="rId113" display="http://aclweb.org/anthology/P18-1013" xr:uid="{00000000-0004-0000-0600-000070000000}"/>
    <hyperlink ref="A240" r:id="rId114" display="http://aclweb.org/anthology/P18-4007" xr:uid="{00000000-0004-0000-0600-000071000000}"/>
    <hyperlink ref="A241" r:id="rId115" display="http://aclweb.org/anthology/N18-1012" xr:uid="{00000000-0004-0000-0600-000072000000}"/>
    <hyperlink ref="A249" r:id="rId116" display="http://aclweb.org/anthology/N18-1013" xr:uid="{00000000-0004-0000-0600-000073000000}"/>
    <hyperlink ref="A250" r:id="rId117" display="http://aclweb.org/anthology/N18-1014" xr:uid="{00000000-0004-0000-0600-000074000000}"/>
    <hyperlink ref="A251" r:id="rId118" display="http://aclweb.org/anthology/D18-1334" xr:uid="{00000000-0004-0000-0600-000075000000}"/>
    <hyperlink ref="A252" r:id="rId119" display="http://aclweb.org/anthology/D18-1350" xr:uid="{00000000-0004-0000-0600-000076000000}"/>
    <hyperlink ref="A253" r:id="rId120" display="http://aclweb.org/anthology/D18-1008" xr:uid="{00000000-0004-0000-0600-000077000000}"/>
    <hyperlink ref="A254" r:id="rId121" display="http://aclweb.org/anthology/P18-2102" xr:uid="{00000000-0004-0000-0600-000078000000}"/>
    <hyperlink ref="A255" r:id="rId122" display="http://aclweb.org/anthology/P18-1175" xr:uid="{00000000-0004-0000-0600-000079000000}"/>
    <hyperlink ref="A256" r:id="rId123" display="http://aclweb.org/anthology/P18-1096" xr:uid="{00000000-0004-0000-0600-00007A000000}"/>
    <hyperlink ref="A262" r:id="rId124" display="http://aclweb.org/anthology/N18-1015" xr:uid="{00000000-0004-0000-0600-00007B000000}"/>
    <hyperlink ref="A263" r:id="rId125" display="http://aclweb.org/anthology/N18-1016" xr:uid="{00000000-0004-0000-0600-00007C000000}"/>
    <hyperlink ref="A264" r:id="rId126" display="http://aclweb.org/anthology/N18-1017" xr:uid="{00000000-0004-0000-0600-00007D000000}"/>
    <hyperlink ref="A265" r:id="rId127" display="http://aclweb.org/anthology/D18-1207" xr:uid="{00000000-0004-0000-0600-00007E000000}"/>
    <hyperlink ref="A266" r:id="rId128" display="http://aclweb.org/anthology/D18-1349" xr:uid="{00000000-0004-0000-0600-00007F000000}"/>
    <hyperlink ref="A267" r:id="rId129" display="http://aclweb.org/anthology/D18-1475" xr:uid="{00000000-0004-0000-0600-000080000000}"/>
    <hyperlink ref="A276" r:id="rId130" display="http://aclweb.org/anthology/P18-2066" xr:uid="{00000000-0004-0000-0600-000081000000}"/>
    <hyperlink ref="A277" r:id="rId131" display="http://aclweb.org/anthology/P18-1144" xr:uid="{00000000-0004-0000-0600-000082000000}"/>
    <hyperlink ref="A278" r:id="rId132" display="http://aclweb.org/anthology/P18-1254" xr:uid="{00000000-0004-0000-0600-000083000000}"/>
    <hyperlink ref="A279" r:id="rId133" display="http://aclweb.org/anthology/N18-1018" xr:uid="{00000000-0004-0000-0600-000084000000}"/>
    <hyperlink ref="A280" r:id="rId134" display="http://aclweb.org/anthology/N18-1019" xr:uid="{00000000-0004-0000-0600-000085000000}"/>
    <hyperlink ref="A281" r:id="rId135" display="http://aclweb.org/anthology/N18-1020" xr:uid="{00000000-0004-0000-0600-000086000000}"/>
    <hyperlink ref="A297" r:id="rId136" display="http://aclweb.org/anthology/N18-1021" xr:uid="{00000000-0004-0000-0600-000087000000}"/>
    <hyperlink ref="A299" r:id="rId137" display="http://aclweb.org/anthology/D18-1163" xr:uid="{00000000-0004-0000-0600-000088000000}"/>
    <hyperlink ref="A337" r:id="rId138" display="http://aclweb.org/anthology/N18-1024" xr:uid="{00000000-0004-0000-0600-000089000000}"/>
    <hyperlink ref="A338" r:id="rId139" display="http://aclweb.org/anthology/N18-1026" xr:uid="{00000000-0004-0000-0600-00008A000000}"/>
    <hyperlink ref="A339" r:id="rId140" display="http://aclweb.org/anthology/N18-1025" xr:uid="{00000000-0004-0000-0600-00008B000000}"/>
    <hyperlink ref="A349" r:id="rId141" display="http://aclweb.org/anthology/N18-1028" xr:uid="{00000000-0004-0000-0600-00008C000000}"/>
    <hyperlink ref="A350" r:id="rId142" display="http://aclweb.org/anthology/N18-1029" xr:uid="{00000000-0004-0000-0600-00008D000000}"/>
    <hyperlink ref="A351" r:id="rId143" display="http://aclweb.org/anthology/N18-1030" xr:uid="{00000000-0004-0000-0600-00008E000000}"/>
    <hyperlink ref="A352" r:id="rId144" display="http://aclweb.org/anthology/D18-1019" xr:uid="{00000000-0004-0000-0600-00008F000000}"/>
    <hyperlink ref="A353" r:id="rId145" display="http://aclweb.org/anthology/D18-1068" xr:uid="{00000000-0004-0000-0600-000090000000}"/>
    <hyperlink ref="A354" r:id="rId146" display="http://aclweb.org/anthology/D18-1384" xr:uid="{00000000-0004-0000-0600-000091000000}"/>
    <hyperlink ref="A355" r:id="rId147" display="http://aclweb.org/anthology/D18-1508" xr:uid="{00000000-0004-0000-0600-000092000000}"/>
    <hyperlink ref="A356" r:id="rId148" display="http://aclweb.org/anthology/D18-1302" xr:uid="{00000000-0004-0000-0600-000093000000}"/>
    <hyperlink ref="A357" r:id="rId149" display="http://aclweb.org/anthology/D18-1501" xr:uid="{00000000-0004-0000-0600-000094000000}"/>
    <hyperlink ref="A358" r:id="rId150" display="http://aclweb.org/anthology/D18-1141" xr:uid="{00000000-0004-0000-0600-000095000000}"/>
    <hyperlink ref="A359" r:id="rId151" display="http://aclweb.org/anthology/D18-1063" xr:uid="{00000000-0004-0000-0600-00009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D966"/>
    <outlinePr summaryBelow="0" summaryRight="0"/>
  </sheetPr>
  <dimension ref="A1:H1207"/>
  <sheetViews>
    <sheetView workbookViewId="0"/>
  </sheetViews>
  <sheetFormatPr baseColWidth="10" defaultColWidth="14.5" defaultRowHeight="15.75" customHeight="1"/>
  <cols>
    <col min="8" max="8" width="18.83203125" customWidth="1"/>
  </cols>
  <sheetData>
    <row r="1" spans="1:8" ht="15.75" customHeight="1">
      <c r="A1" s="22" t="s">
        <v>8</v>
      </c>
      <c r="B1" s="2" t="s">
        <v>9</v>
      </c>
      <c r="C1" s="2" t="s">
        <v>359</v>
      </c>
      <c r="D1" s="2" t="s">
        <v>360</v>
      </c>
      <c r="E1" s="2" t="s">
        <v>114</v>
      </c>
      <c r="F1" s="2" t="s">
        <v>11</v>
      </c>
      <c r="G1" s="2" t="s">
        <v>361</v>
      </c>
      <c r="H1" s="2" t="s">
        <v>17</v>
      </c>
    </row>
    <row r="2" spans="1:8" ht="15.75" customHeight="1">
      <c r="A2" s="23" t="str">
        <f ca="1">IFERROR(__xludf.DUMMYFUNCTION("UNIQUE('Annotated Papers'!A3:A1207)"),"Image Collection Pop-Up: 3D Reconstruction and Clustering of Rigid and Non-Rigid Categories")</f>
        <v>Image Collection Pop-Up: 3D Reconstruction and Clustering of Rigid and Non-Rigid Categories</v>
      </c>
      <c r="B2" t="str">
        <f ca="1">IF(ISBLANK(A2), "", VLOOKUP(A2,'Annotated Papers'!1:1040,2,FALSE))</f>
        <v>CV</v>
      </c>
      <c r="C2" s="24">
        <f ca="1">IF(ISBLANK(A2), "", VLOOKUP(A2,'Annotated Papers'!1:1040,5,FALSE))</f>
        <v>0</v>
      </c>
      <c r="D2">
        <f ca="1">IF(ISBLANK(A2), "", IF(COUNTIF('Annotated Papers'!A:A,A2)&gt;1,1,0))</f>
        <v>1</v>
      </c>
      <c r="E2">
        <f ca="1">IF(ISBLANK(A2), "", IF(SUMIFS('Annotated Papers'!G:G, 'Annotated Papers'!A:A,A2)&gt;0,1,0))</f>
        <v>0</v>
      </c>
      <c r="F2">
        <f ca="1">IF(ISBLANK(A2), "", IF(SUMIFS('Annotated Papers'!H:H, 'Annotated Papers'!A:A,A2)&gt;0,1,0))</f>
        <v>1</v>
      </c>
      <c r="G2" t="e">
        <f ca="1">IF(ISBLANK(A2), "", IF(SUMIFS('Annotated Papers'!I:I, 'Annotated Papers'!A:A,A2)&gt;0,1,0))</f>
        <v>#NAME?</v>
      </c>
      <c r="H2">
        <f ca="1">IF(ISBLANK(A2), "", IF(SUMIFS('Annotated Papers'!L:L, 'Annotated Papers'!A:A,A2)&gt;0,1,0))</f>
        <v>0</v>
      </c>
    </row>
    <row r="3" spans="1:8" ht="15.75" customHeight="1">
      <c r="A3" s="25" t="str">
        <f ca="1">IFERROR(__xludf.DUMMYFUNCTION("""COMPUTED_VALUE"""),"Guide Me: Interacting With Deep Networks")</f>
        <v>Guide Me: Interacting With Deep Networks</v>
      </c>
      <c r="B3" t="str">
        <f ca="1">IF(ISBLANK(A3), "", VLOOKUP(A3,'Annotated Papers'!2:1041,2,FALSE))</f>
        <v>CV</v>
      </c>
      <c r="C3" s="24">
        <f ca="1">IF(ISBLANK(A3), "", VLOOKUP(A3,'Annotated Papers'!2:1041,5,FALSE))</f>
        <v>0</v>
      </c>
      <c r="D3">
        <f ca="1">IF(ISBLANK(A3), "", IF(COUNTIF('Annotated Papers'!A:A,A3)&gt;1,1,0))</f>
        <v>1</v>
      </c>
      <c r="E3">
        <f ca="1">IF(ISBLANK(A3), "", IF(SUMIFS('Annotated Papers'!G:G, 'Annotated Papers'!A:A,A3)&gt;0,1,0))</f>
        <v>0</v>
      </c>
      <c r="F3">
        <f ca="1">IF(ISBLANK(A3), "", IF(SUMIFS('Annotated Papers'!H:H, 'Annotated Papers'!A:A,A3)&gt;0,1,0))</f>
        <v>1</v>
      </c>
      <c r="G3" t="e">
        <f ca="1">IF(ISBLANK(A3), "", IF(SUMIFS('Annotated Papers'!I:I, 'Annotated Papers'!A:A,A3)&gt;0,1,0))</f>
        <v>#NAME?</v>
      </c>
      <c r="H3">
        <f ca="1">IF(ISBLANK(A3), "", IF(SUMIFS('Annotated Papers'!L:L, 'Annotated Papers'!A:A,A3)&gt;0,1,0))</f>
        <v>0</v>
      </c>
    </row>
    <row r="4" spans="1:8" ht="15.75" customHeight="1">
      <c r="A4" s="25" t="str">
        <f ca="1">IFERROR(__xludf.DUMMYFUNCTION("""COMPUTED_VALUE"""),"Learning Sentiment Memories for Sentiment Modification without Parallel Data")</f>
        <v>Learning Sentiment Memories for Sentiment Modification without Parallel Data</v>
      </c>
      <c r="B4" t="str">
        <f ca="1">IF(ISBLANK(A4), "", VLOOKUP(A4,'Annotated Papers'!3:1042,2,FALSE))</f>
        <v>NLP</v>
      </c>
      <c r="C4" s="24">
        <f ca="1">IF(ISBLANK(A4), "", VLOOKUP(A4,'Annotated Papers'!3:1042,5,FALSE))</f>
        <v>1</v>
      </c>
      <c r="D4">
        <f ca="1">IF(ISBLANK(A4), "", IF(COUNTIF('Annotated Papers'!A:A,A4)&gt;1,1,0))</f>
        <v>0</v>
      </c>
      <c r="E4">
        <f ca="1">IF(ISBLANK(A4), "", IF(SUMIFS('Annotated Papers'!G:G, 'Annotated Papers'!A:A,A4)&gt;0,1,0))</f>
        <v>0</v>
      </c>
      <c r="F4">
        <f ca="1">IF(ISBLANK(A4), "", IF(SUMIFS('Annotated Papers'!H:H, 'Annotated Papers'!A:A,A4)&gt;0,1,0))</f>
        <v>1</v>
      </c>
      <c r="G4" t="e">
        <f ca="1">IF(ISBLANK(A4), "", IF(SUMIFS('Annotated Papers'!I:I, 'Annotated Papers'!A:A,A4)&gt;0,1,0))</f>
        <v>#NAME?</v>
      </c>
      <c r="H4">
        <f ca="1">IF(ISBLANK(A4), "", IF(SUMIFS('Annotated Papers'!L:L, 'Annotated Papers'!A:A,A4)&gt;0,1,0))</f>
        <v>0</v>
      </c>
    </row>
    <row r="5" spans="1:8" ht="15.75" customHeight="1">
      <c r="A5" s="25" t="str">
        <f ca="1">IFERROR(__xludf.DUMMYFUNCTION("""COMPUTED_VALUE"""),"Simple Recurrent Units for Highly Parallelizable Recurrence")</f>
        <v>Simple Recurrent Units for Highly Parallelizable Recurrence</v>
      </c>
      <c r="B5" t="str">
        <f ca="1">IF(ISBLANK(A5), "", VLOOKUP(A5,'Annotated Papers'!4:1043,2,FALSE))</f>
        <v>NLP</v>
      </c>
      <c r="C5" s="24">
        <f ca="1">IF(ISBLANK(A5), "", VLOOKUP(A5,'Annotated Papers'!4:1043,5,FALSE))</f>
        <v>1</v>
      </c>
      <c r="D5">
        <f ca="1">IF(ISBLANK(A5), "", IF(COUNTIF('Annotated Papers'!A:A,A5)&gt;1,1,0))</f>
        <v>1</v>
      </c>
      <c r="E5">
        <f ca="1">IF(ISBLANK(A5), "", IF(SUMIFS('Annotated Papers'!G:G, 'Annotated Papers'!A:A,A5)&gt;0,1,0))</f>
        <v>0</v>
      </c>
      <c r="F5">
        <f ca="1">IF(ISBLANK(A5), "", IF(SUMIFS('Annotated Papers'!H:H, 'Annotated Papers'!A:A,A5)&gt;0,1,0))</f>
        <v>1</v>
      </c>
      <c r="G5" t="e">
        <f ca="1">IF(ISBLANK(A5), "", IF(SUMIFS('Annotated Papers'!I:I, 'Annotated Papers'!A:A,A5)&gt;0,1,0))</f>
        <v>#NAME?</v>
      </c>
      <c r="H5">
        <f ca="1">IF(ISBLANK(A5), "", IF(SUMIFS('Annotated Papers'!L:L, 'Annotated Papers'!A:A,A5)&gt;0,1,0))</f>
        <v>1</v>
      </c>
    </row>
    <row r="6" spans="1:8" ht="15.75" customHeight="1">
      <c r="A6" s="25" t="str">
        <f ca="1">IFERROR(__xludf.DUMMYFUNCTION("""COMPUTED_VALUE"""),"Dating Documents using Graph Convolution Networks")</f>
        <v>Dating Documents using Graph Convolution Networks</v>
      </c>
      <c r="B6" t="str">
        <f ca="1">IF(ISBLANK(A6), "", VLOOKUP(A6,'Annotated Papers'!5:1044,2,FALSE))</f>
        <v>NLP</v>
      </c>
      <c r="C6" s="24">
        <f ca="1">IF(ISBLANK(A6), "", VLOOKUP(A6,'Annotated Papers'!5:1044,5,FALSE))</f>
        <v>1</v>
      </c>
      <c r="D6">
        <f ca="1">IF(ISBLANK(A6), "", IF(COUNTIF('Annotated Papers'!A:A,A6)&gt;1,1,0))</f>
        <v>1</v>
      </c>
      <c r="E6">
        <f ca="1">IF(ISBLANK(A6), "", IF(SUMIFS('Annotated Papers'!G:G, 'Annotated Papers'!A:A,A6)&gt;0,1,0))</f>
        <v>0</v>
      </c>
      <c r="F6">
        <f ca="1">IF(ISBLANK(A6), "", IF(SUMIFS('Annotated Papers'!H:H, 'Annotated Papers'!A:A,A6)&gt;0,1,0))</f>
        <v>1</v>
      </c>
      <c r="G6" t="e">
        <f ca="1">IF(ISBLANK(A6), "", IF(SUMIFS('Annotated Papers'!I:I, 'Annotated Papers'!A:A,A6)&gt;0,1,0))</f>
        <v>#NAME?</v>
      </c>
      <c r="H6">
        <f ca="1">IF(ISBLANK(A6), "", IF(SUMIFS('Annotated Papers'!L:L, 'Annotated Papers'!A:A,A6)&gt;0,1,0))</f>
        <v>0</v>
      </c>
    </row>
    <row r="7" spans="1:8" ht="15.75" customHeight="1">
      <c r="A7" s="25" t="str">
        <f ca="1">IFERROR(__xludf.DUMMYFUNCTION("""COMPUTED_VALUE"""),"How Much Attention Do You Need? A Granular Analysis of Neural Machine Translation Architectures")</f>
        <v>How Much Attention Do You Need? A Granular Analysis of Neural Machine Translation Architectures</v>
      </c>
      <c r="B7" t="str">
        <f ca="1">IF(ISBLANK(A7), "", VLOOKUP(A7,'Annotated Papers'!6:1045,2,FALSE))</f>
        <v>NLP</v>
      </c>
      <c r="C7" s="24">
        <f ca="1">IF(ISBLANK(A7), "", VLOOKUP(A7,'Annotated Papers'!6:1045,5,FALSE))</f>
        <v>1</v>
      </c>
      <c r="D7">
        <f ca="1">IF(ISBLANK(A7), "", IF(COUNTIF('Annotated Papers'!A:A,A7)&gt;1,1,0))</f>
        <v>1</v>
      </c>
      <c r="E7">
        <f ca="1">IF(ISBLANK(A7), "", IF(SUMIFS('Annotated Papers'!G:G, 'Annotated Papers'!A:A,A7)&gt;0,1,0))</f>
        <v>0</v>
      </c>
      <c r="F7">
        <f ca="1">IF(ISBLANK(A7), "", IF(SUMIFS('Annotated Papers'!H:H, 'Annotated Papers'!A:A,A7)&gt;0,1,0))</f>
        <v>1</v>
      </c>
      <c r="G7" t="e">
        <f ca="1">IF(ISBLANK(A7), "", IF(SUMIFS('Annotated Papers'!I:I, 'Annotated Papers'!A:A,A7)&gt;0,1,0))</f>
        <v>#NAME?</v>
      </c>
      <c r="H7">
        <f ca="1">IF(ISBLANK(A7), "", IF(SUMIFS('Annotated Papers'!L:L, 'Annotated Papers'!A:A,A7)&gt;0,1,0))</f>
        <v>1</v>
      </c>
    </row>
    <row r="8" spans="1:8" ht="15.75" customHeight="1">
      <c r="A8" s="25" t="str">
        <f ca="1">IFERROR(__xludf.DUMMYFUNCTION("""COMPUTED_VALUE"""),"Label-Aware Double Transfer Learning for Cross-Specialty Medical Named Entity Recognition")</f>
        <v>Label-Aware Double Transfer Learning for Cross-Specialty Medical Named Entity Recognition</v>
      </c>
      <c r="B8" t="str">
        <f ca="1">IF(ISBLANK(A8), "", VLOOKUP(A8,'Annotated Papers'!7:1046,2,FALSE))</f>
        <v>NLP, ML4H</v>
      </c>
      <c r="C8" s="24">
        <f ca="1">IF(ISBLANK(A8), "", VLOOKUP(A8,'Annotated Papers'!7:1046,5,FALSE))</f>
        <v>0</v>
      </c>
      <c r="D8">
        <f ca="1">IF(ISBLANK(A8), "", IF(COUNTIF('Annotated Papers'!A:A,A8)&gt;1,1,0))</f>
        <v>1</v>
      </c>
      <c r="E8">
        <f ca="1">IF(ISBLANK(A8), "", IF(SUMIFS('Annotated Papers'!G:G, 'Annotated Papers'!A:A,A8)&gt;0,1,0))</f>
        <v>1</v>
      </c>
      <c r="F8">
        <f ca="1">IF(ISBLANK(A8), "", IF(SUMIFS('Annotated Papers'!H:H, 'Annotated Papers'!A:A,A8)&gt;0,1,0))</f>
        <v>1</v>
      </c>
      <c r="G8" t="e">
        <f ca="1">IF(ISBLANK(A8), "", IF(SUMIFS('Annotated Papers'!I:I, 'Annotated Papers'!A:A,A8)&gt;0,1,0))</f>
        <v>#NAME?</v>
      </c>
      <c r="H8">
        <f ca="1">IF(ISBLANK(A8), "", IF(SUMIFS('Annotated Papers'!L:L, 'Annotated Papers'!A:A,A8)&gt;0,1,0))</f>
        <v>1</v>
      </c>
    </row>
    <row r="9" spans="1:8" ht="15.75" customHeight="1">
      <c r="A9" s="25" t="str">
        <f ca="1">IFERROR(__xludf.DUMMYFUNCTION("""COMPUTED_VALUE"""),"Neural Fine-Grained Entity Type Classification with Hierarchy-Aware Loss")</f>
        <v>Neural Fine-Grained Entity Type Classification with Hierarchy-Aware Loss</v>
      </c>
      <c r="B9" t="str">
        <f ca="1">IF(ISBLANK(A9), "", VLOOKUP(A9,'Annotated Papers'!8:1047,2,FALSE))</f>
        <v>NLP</v>
      </c>
      <c r="C9" s="24">
        <f ca="1">IF(ISBLANK(A9), "", VLOOKUP(A9,'Annotated Papers'!8:1047,5,FALSE))</f>
        <v>1</v>
      </c>
      <c r="D9">
        <f ca="1">IF(ISBLANK(A9), "", IF(COUNTIF('Annotated Papers'!A:A,A9)&gt;1,1,0))</f>
        <v>1</v>
      </c>
      <c r="E9">
        <f ca="1">IF(ISBLANK(A9), "", IF(SUMIFS('Annotated Papers'!G:G, 'Annotated Papers'!A:A,A9)&gt;0,1,0))</f>
        <v>0</v>
      </c>
      <c r="F9">
        <f ca="1">IF(ISBLANK(A9), "", IF(SUMIFS('Annotated Papers'!H:H, 'Annotated Papers'!A:A,A9)&gt;0,1,0))</f>
        <v>1</v>
      </c>
      <c r="G9" t="e">
        <f ca="1">IF(ISBLANK(A9), "", IF(SUMIFS('Annotated Papers'!I:I, 'Annotated Papers'!A:A,A9)&gt;0,1,0))</f>
        <v>#NAME?</v>
      </c>
      <c r="H9">
        <f ca="1">IF(ISBLANK(A9), "", IF(SUMIFS('Annotated Papers'!L:L, 'Annotated Papers'!A:A,A9)&gt;0,1,0))</f>
        <v>1</v>
      </c>
    </row>
    <row r="10" spans="1:8" ht="15.75" customHeight="1">
      <c r="A10" s="25" t="str">
        <f ca="1">IFERROR(__xludf.DUMMYFUNCTION("""COMPUTED_VALUE"""),"Beyond Log-concavity: Provable Guarantees for Sampling Multi-modal Distributions using Simulated Tempering Langevin Monte Carlo")</f>
        <v>Beyond Log-concavity: Provable Guarantees for Sampling Multi-modal Distributions using Simulated Tempering Langevin Monte Carlo</v>
      </c>
      <c r="B10" t="str">
        <f ca="1">IF(ISBLANK(A10), "", VLOOKUP(A10,'Annotated Papers'!9:1048,2,FALSE))</f>
        <v>General</v>
      </c>
      <c r="C10" s="24">
        <f ca="1">IF(ISBLANK(A10), "", VLOOKUP(A10,'Annotated Papers'!9:1048,5,FALSE))</f>
        <v>0</v>
      </c>
      <c r="D10">
        <f ca="1">IF(ISBLANK(A10), "", IF(COUNTIF('Annotated Papers'!A:A,A10)&gt;1,1,0))</f>
        <v>0</v>
      </c>
      <c r="E10">
        <f ca="1">IF(ISBLANK(A10), "", IF(SUMIFS('Annotated Papers'!G:G, 'Annotated Papers'!A:A,A10)&gt;0,1,0))</f>
        <v>0</v>
      </c>
      <c r="F10">
        <f ca="1">IF(ISBLANK(A10), "", IF(SUMIFS('Annotated Papers'!H:H, 'Annotated Papers'!A:A,A10)&gt;0,1,0))</f>
        <v>0</v>
      </c>
      <c r="G10">
        <f ca="1">IF(ISBLANK(A10), "", IF(SUMIFS('Annotated Papers'!I:I, 'Annotated Papers'!A:A,A10)&gt;0,1,0))</f>
        <v>0</v>
      </c>
      <c r="H10">
        <f ca="1">IF(ISBLANK(A10), "", IF(SUMIFS('Annotated Papers'!L:L, 'Annotated Papers'!A:A,A10)&gt;0,1,0))</f>
        <v>0</v>
      </c>
    </row>
    <row r="11" spans="1:8" ht="15.75" customHeight="1">
      <c r="A11" s="25" t="str">
        <f ca="1">IFERROR(__xludf.DUMMYFUNCTION("""COMPUTED_VALUE"""),"Neural Ordinary Differential Equations")</f>
        <v>Neural Ordinary Differential Equations</v>
      </c>
      <c r="B11" t="str">
        <f ca="1">IF(ISBLANK(A11), "", VLOOKUP(A11,'Annotated Papers'!10:1049,2,FALSE))</f>
        <v>General</v>
      </c>
      <c r="C11" s="24">
        <f ca="1">IF(ISBLANK(A11), "", VLOOKUP(A11,'Annotated Papers'!10:1049,5,FALSE))</f>
        <v>1</v>
      </c>
      <c r="D11">
        <f ca="1">IF(ISBLANK(A11), "", IF(COUNTIF('Annotated Papers'!A:A,A11)&gt;1,1,0))</f>
        <v>0</v>
      </c>
      <c r="E11">
        <f ca="1">IF(ISBLANK(A11), "", IF(SUMIFS('Annotated Papers'!G:G, 'Annotated Papers'!A:A,A11)&gt;0,1,0))</f>
        <v>0</v>
      </c>
      <c r="F11">
        <f ca="1">IF(ISBLANK(A11), "", IF(SUMIFS('Annotated Papers'!H:H, 'Annotated Papers'!A:A,A11)&gt;0,1,0))</f>
        <v>0</v>
      </c>
      <c r="G11">
        <f ca="1">IF(ISBLANK(A11), "", IF(SUMIFS('Annotated Papers'!I:I, 'Annotated Papers'!A:A,A11)&gt;0,1,0))</f>
        <v>0</v>
      </c>
      <c r="H11">
        <f ca="1">IF(ISBLANK(A11), "", IF(SUMIFS('Annotated Papers'!L:L, 'Annotated Papers'!A:A,A11)&gt;0,1,0))</f>
        <v>0</v>
      </c>
    </row>
    <row r="12" spans="1:8" ht="15.75" customHeight="1">
      <c r="A12" s="25" t="str">
        <f ca="1">IFERROR(__xludf.DUMMYFUNCTION("""COMPUTED_VALUE"""),"Gradient Descent Learns One-hidden-layer CNN: Don’t be Afraid of Spurious Local Minima")</f>
        <v>Gradient Descent Learns One-hidden-layer CNN: Don’t be Afraid of Spurious Local Minima</v>
      </c>
      <c r="B12" t="str">
        <f ca="1">IF(ISBLANK(A12), "", VLOOKUP(A12,'Annotated Papers'!11:1050,2,FALSE))</f>
        <v>General</v>
      </c>
      <c r="C12" s="24">
        <f ca="1">IF(ISBLANK(A12), "", VLOOKUP(A12,'Annotated Papers'!11:1050,5,FALSE))</f>
        <v>0</v>
      </c>
      <c r="D12">
        <f ca="1">IF(ISBLANK(A12), "", IF(COUNTIF('Annotated Papers'!A:A,A12)&gt;1,1,0))</f>
        <v>0</v>
      </c>
      <c r="E12">
        <f ca="1">IF(ISBLANK(A12), "", IF(SUMIFS('Annotated Papers'!G:G, 'Annotated Papers'!A:A,A12)&gt;0,1,0))</f>
        <v>0</v>
      </c>
      <c r="F12">
        <f ca="1">IF(ISBLANK(A12), "", IF(SUMIFS('Annotated Papers'!H:H, 'Annotated Papers'!A:A,A12)&gt;0,1,0))</f>
        <v>0</v>
      </c>
      <c r="G12">
        <f ca="1">IF(ISBLANK(A12), "", IF(SUMIFS('Annotated Papers'!I:I, 'Annotated Papers'!A:A,A12)&gt;0,1,0))</f>
        <v>0</v>
      </c>
      <c r="H12">
        <f ca="1">IF(ISBLANK(A12), "", IF(SUMIFS('Annotated Papers'!L:L, 'Annotated Papers'!A:A,A12)&gt;0,1,0))</f>
        <v>0</v>
      </c>
    </row>
    <row r="13" spans="1:8" ht="15.75" customHeight="1">
      <c r="A13" s="25" t="str">
        <f ca="1">IFERROR(__xludf.DUMMYFUNCTION("""COMPUTED_VALUE"""),"Thompson Sampling for Combinatorial Semi-Bandits")</f>
        <v>Thompson Sampling for Combinatorial Semi-Bandits</v>
      </c>
      <c r="B13" t="str">
        <f ca="1">IF(ISBLANK(A13), "", VLOOKUP(A13,'Annotated Papers'!12:1051,2,FALSE))</f>
        <v>General</v>
      </c>
      <c r="C13" s="24">
        <f ca="1">IF(ISBLANK(A13), "", VLOOKUP(A13,'Annotated Papers'!12:1051,5,FALSE))</f>
        <v>0</v>
      </c>
      <c r="D13">
        <f ca="1">IF(ISBLANK(A13), "", IF(COUNTIF('Annotated Papers'!A:A,A13)&gt;1,1,0))</f>
        <v>0</v>
      </c>
      <c r="E13">
        <f ca="1">IF(ISBLANK(A13), "", IF(SUMIFS('Annotated Papers'!G:G, 'Annotated Papers'!A:A,A13)&gt;0,1,0))</f>
        <v>0</v>
      </c>
      <c r="F13">
        <f ca="1">IF(ISBLANK(A13), "", IF(SUMIFS('Annotated Papers'!H:H, 'Annotated Papers'!A:A,A13)&gt;0,1,0))</f>
        <v>0</v>
      </c>
      <c r="G13">
        <f ca="1">IF(ISBLANK(A13), "", IF(SUMIFS('Annotated Papers'!I:I, 'Annotated Papers'!A:A,A13)&gt;0,1,0))</f>
        <v>0</v>
      </c>
      <c r="H13">
        <f ca="1">IF(ISBLANK(A13), "", IF(SUMIFS('Annotated Papers'!L:L, 'Annotated Papers'!A:A,A13)&gt;0,1,0))</f>
        <v>0</v>
      </c>
    </row>
    <row r="14" spans="1:8" ht="15.75" customHeight="1">
      <c r="A14" s="25" t="str">
        <f ca="1">IFERROR(__xludf.DUMMYFUNCTION("""COMPUTED_VALUE"""),"Hetero-ConvLSTM: A Deep Learning Approach to Traffic Accident Prediction on Heterogeneous Spatio-Tem")</f>
        <v>Hetero-ConvLSTM: A Deep Learning Approach to Traffic Accident Prediction on Heterogeneous Spatio-Tem</v>
      </c>
      <c r="B14" t="str">
        <f ca="1">IF(ISBLANK(A14), "", VLOOKUP(A14,'Annotated Papers'!13:1052,2,FALSE))</f>
        <v>General</v>
      </c>
      <c r="C14" s="24">
        <f ca="1">IF(ISBLANK(A14), "", VLOOKUP(A14,'Annotated Papers'!13:1052,5,FALSE))</f>
        <v>0</v>
      </c>
      <c r="D14">
        <f ca="1">IF(ISBLANK(A14), "", IF(COUNTIF('Annotated Papers'!A:A,A14)&gt;1,1,0))</f>
        <v>1</v>
      </c>
      <c r="E14">
        <f ca="1">IF(ISBLANK(A14), "", IF(SUMIFS('Annotated Papers'!G:G, 'Annotated Papers'!A:A,A14)&gt;0,1,0))</f>
        <v>0</v>
      </c>
      <c r="F14">
        <f ca="1">IF(ISBLANK(A14), "", IF(SUMIFS('Annotated Papers'!H:H, 'Annotated Papers'!A:A,A14)&gt;0,1,0))</f>
        <v>1</v>
      </c>
      <c r="G14" t="e">
        <f ca="1">IF(ISBLANK(A14), "", IF(SUMIFS('Annotated Papers'!I:I, 'Annotated Papers'!A:A,A14)&gt;0,1,0))</f>
        <v>#NAME?</v>
      </c>
      <c r="H14">
        <f ca="1">IF(ISBLANK(A14), "", IF(SUMIFS('Annotated Papers'!L:L, 'Annotated Papers'!A:A,A14)&gt;0,1,0))</f>
        <v>0</v>
      </c>
    </row>
    <row r="15" spans="1:8" ht="15.75" customHeight="1">
      <c r="A15" s="25" t="str">
        <f ca="1">IFERROR(__xludf.DUMMYFUNCTION("""COMPUTED_VALUE"""),"Deep Recursive Network Embedding with Regular Equivalence")</f>
        <v>Deep Recursive Network Embedding with Regular Equivalence</v>
      </c>
      <c r="B15" t="str">
        <f ca="1">IF(ISBLANK(A15), "", VLOOKUP(A15,'Annotated Papers'!14:1053,2,FALSE))</f>
        <v>General</v>
      </c>
      <c r="C15" s="24">
        <f ca="1">IF(ISBLANK(A15), "", VLOOKUP(A15,'Annotated Papers'!14:1053,5,FALSE))</f>
        <v>0</v>
      </c>
      <c r="D15">
        <f ca="1">IF(ISBLANK(A15), "", IF(COUNTIF('Annotated Papers'!A:A,A15)&gt;1,1,0))</f>
        <v>1</v>
      </c>
      <c r="E15">
        <f ca="1">IF(ISBLANK(A15), "", IF(SUMIFS('Annotated Papers'!G:G, 'Annotated Papers'!A:A,A15)&gt;0,1,0))</f>
        <v>0</v>
      </c>
      <c r="F15">
        <f ca="1">IF(ISBLANK(A15), "", IF(SUMIFS('Annotated Papers'!H:H, 'Annotated Papers'!A:A,A15)&gt;0,1,0))</f>
        <v>1</v>
      </c>
      <c r="G15" t="e">
        <f ca="1">IF(ISBLANK(A15), "", IF(SUMIFS('Annotated Papers'!I:I, 'Annotated Papers'!A:A,A15)&gt;0,1,0))</f>
        <v>#NAME?</v>
      </c>
      <c r="H15">
        <f ca="1">IF(ISBLANK(A15), "", IF(SUMIFS('Annotated Papers'!L:L, 'Annotated Papers'!A:A,A15)&gt;0,1,0))</f>
        <v>0</v>
      </c>
    </row>
    <row r="16" spans="1:8" ht="15.75" customHeight="1">
      <c r="A16" s="25" t="str">
        <f ca="1">IFERROR(__xludf.DUMMYFUNCTION("""COMPUTED_VALUE"""),"CurriculumNet: Weakly Supervised Learning from Large-Scale Web Images")</f>
        <v>CurriculumNet: Weakly Supervised Learning from Large-Scale Web Images</v>
      </c>
      <c r="B16" t="str">
        <f ca="1">IF(ISBLANK(A16), "", VLOOKUP(A16,'Annotated Papers'!15:1054,2,FALSE))</f>
        <v>CV</v>
      </c>
      <c r="C16" s="24">
        <f ca="1">IF(ISBLANK(A16), "", VLOOKUP(A16,'Annotated Papers'!15:1054,5,FALSE))</f>
        <v>1</v>
      </c>
      <c r="D16">
        <f ca="1">IF(ISBLANK(A16), "", IF(COUNTIF('Annotated Papers'!A:A,A16)&gt;1,1,0))</f>
        <v>1</v>
      </c>
      <c r="E16">
        <f ca="1">IF(ISBLANK(A16), "", IF(SUMIFS('Annotated Papers'!G:G, 'Annotated Papers'!A:A,A16)&gt;0,1,0))</f>
        <v>0</v>
      </c>
      <c r="F16">
        <f ca="1">IF(ISBLANK(A16), "", IF(SUMIFS('Annotated Papers'!H:H, 'Annotated Papers'!A:A,A16)&gt;0,1,0))</f>
        <v>1</v>
      </c>
      <c r="G16" t="e">
        <f ca="1">IF(ISBLANK(A16), "", IF(SUMIFS('Annotated Papers'!I:I, 'Annotated Papers'!A:A,A16)&gt;0,1,0))</f>
        <v>#NAME?</v>
      </c>
      <c r="H16">
        <f ca="1">IF(ISBLANK(A16), "", IF(SUMIFS('Annotated Papers'!L:L, 'Annotated Papers'!A:A,A16)&gt;0,1,0))</f>
        <v>0</v>
      </c>
    </row>
    <row r="17" spans="1:8" ht="15.75" customHeight="1">
      <c r="A17" s="25" t="str">
        <f ca="1">IFERROR(__xludf.DUMMYFUNCTION("""COMPUTED_VALUE"""),"A Unified Framework for Multi-View Multi-Class Object Pose Estimation")</f>
        <v>A Unified Framework for Multi-View Multi-Class Object Pose Estimation</v>
      </c>
      <c r="B17" t="str">
        <f ca="1">IF(ISBLANK(A17), "", VLOOKUP(A17,'Annotated Papers'!16:1055,2,FALSE))</f>
        <v>CV</v>
      </c>
      <c r="C17" s="24">
        <f ca="1">IF(ISBLANK(A17), "", VLOOKUP(A17,'Annotated Papers'!16:1055,5,FALSE))</f>
        <v>0</v>
      </c>
      <c r="D17">
        <f ca="1">IF(ISBLANK(A17), "", IF(COUNTIF('Annotated Papers'!A:A,A17)&gt;1,1,0))</f>
        <v>1</v>
      </c>
      <c r="E17">
        <f ca="1">IF(ISBLANK(A17), "", IF(SUMIFS('Annotated Papers'!G:G, 'Annotated Papers'!A:A,A17)&gt;0,1,0))</f>
        <v>0</v>
      </c>
      <c r="F17">
        <f ca="1">IF(ISBLANK(A17), "", IF(SUMIFS('Annotated Papers'!H:H, 'Annotated Papers'!A:A,A17)&gt;0,1,0))</f>
        <v>1</v>
      </c>
      <c r="G17" t="e">
        <f ca="1">IF(ISBLANK(A17), "", IF(SUMIFS('Annotated Papers'!I:I, 'Annotated Papers'!A:A,A17)&gt;0,1,0))</f>
        <v>#NAME?</v>
      </c>
      <c r="H17">
        <f ca="1">IF(ISBLANK(A17), "", IF(SUMIFS('Annotated Papers'!L:L, 'Annotated Papers'!A:A,A17)&gt;0,1,0))</f>
        <v>0</v>
      </c>
    </row>
    <row r="18" spans="1:8" ht="15.75" customHeight="1">
      <c r="A18" s="25" t="str">
        <f ca="1">IFERROR(__xludf.DUMMYFUNCTION("""COMPUTED_VALUE"""),"Learning Deep Neural Networks for Vehicle Re-ID With Visual-Spatio-Temporal Path Proposals")</f>
        <v>Learning Deep Neural Networks for Vehicle Re-ID With Visual-Spatio-Temporal Path Proposals</v>
      </c>
      <c r="B18" t="str">
        <f ca="1">IF(ISBLANK(A18), "", VLOOKUP(A18,'Annotated Papers'!17:1056,2,FALSE))</f>
        <v>CV</v>
      </c>
      <c r="C18" s="24">
        <f ca="1">IF(ISBLANK(A18), "", VLOOKUP(A18,'Annotated Papers'!17:1056,5,FALSE))</f>
        <v>0</v>
      </c>
      <c r="D18">
        <f ca="1">IF(ISBLANK(A18), "", IF(COUNTIF('Annotated Papers'!A:A,A18)&gt;1,1,0))</f>
        <v>0</v>
      </c>
      <c r="E18">
        <f ca="1">IF(ISBLANK(A18), "", IF(SUMIFS('Annotated Papers'!G:G, 'Annotated Papers'!A:A,A18)&gt;0,1,0))</f>
        <v>0</v>
      </c>
      <c r="F18">
        <f ca="1">IF(ISBLANK(A18), "", IF(SUMIFS('Annotated Papers'!H:H, 'Annotated Papers'!A:A,A18)&gt;0,1,0))</f>
        <v>1</v>
      </c>
      <c r="G18" t="e">
        <f ca="1">IF(ISBLANK(A18), "", IF(SUMIFS('Annotated Papers'!I:I, 'Annotated Papers'!A:A,A18)&gt;0,1,0))</f>
        <v>#NAME?</v>
      </c>
      <c r="H18">
        <f ca="1">IF(ISBLANK(A18), "", IF(SUMIFS('Annotated Papers'!L:L, 'Annotated Papers'!A:A,A18)&gt;0,1,0))</f>
        <v>0</v>
      </c>
    </row>
    <row r="19" spans="1:8" ht="15.75" customHeight="1">
      <c r="A19" s="25" t="str">
        <f ca="1">IFERROR(__xludf.DUMMYFUNCTION("""COMPUTED_VALUE"""),"Weakly Supervised Summarization of Web Videos")</f>
        <v>Weakly Supervised Summarization of Web Videos</v>
      </c>
      <c r="B19" t="str">
        <f ca="1">IF(ISBLANK(A19), "", VLOOKUP(A19,'Annotated Papers'!18:1057,2,FALSE))</f>
        <v>CV</v>
      </c>
      <c r="C19" s="24">
        <f ca="1">IF(ISBLANK(A19), "", VLOOKUP(A19,'Annotated Papers'!18:1057,5,FALSE))</f>
        <v>0</v>
      </c>
      <c r="D19">
        <f ca="1">IF(ISBLANK(A19), "", IF(COUNTIF('Annotated Papers'!A:A,A19)&gt;1,1,0))</f>
        <v>1</v>
      </c>
      <c r="E19">
        <f ca="1">IF(ISBLANK(A19), "", IF(SUMIFS('Annotated Papers'!G:G, 'Annotated Papers'!A:A,A19)&gt;0,1,0))</f>
        <v>0</v>
      </c>
      <c r="F19">
        <f ca="1">IF(ISBLANK(A19), "", IF(SUMIFS('Annotated Papers'!H:H, 'Annotated Papers'!A:A,A19)&gt;0,1,0))</f>
        <v>1</v>
      </c>
      <c r="G19" t="e">
        <f ca="1">IF(ISBLANK(A19), "", IF(SUMIFS('Annotated Papers'!I:I, 'Annotated Papers'!A:A,A19)&gt;0,1,0))</f>
        <v>#NAME?</v>
      </c>
      <c r="H19">
        <f ca="1">IF(ISBLANK(A19), "", IF(SUMIFS('Annotated Papers'!L:L, 'Annotated Papers'!A:A,A19)&gt;0,1,0))</f>
        <v>0</v>
      </c>
    </row>
    <row r="20" spans="1:8" ht="15.75" customHeight="1">
      <c r="A20" s="26" t="str">
        <f ca="1">IFERROR(__xludf.DUMMYFUNCTION("""COMPUTED_VALUE"""),"Prediction of Cardiac Arrest from Physiological Signals in the Pediatric ICU")</f>
        <v>Prediction of Cardiac Arrest from Physiological Signals in the Pediatric ICU</v>
      </c>
      <c r="B20" t="str">
        <f ca="1">IF(ISBLANK(A20), "", VLOOKUP(A20,'Annotated Papers'!19:1058,2,FALSE))</f>
        <v>ML4H</v>
      </c>
      <c r="C20" s="24">
        <f ca="1">IF(ISBLANK(A20), "", VLOOKUP(A20,'Annotated Papers'!19:1058,5,FALSE))</f>
        <v>0</v>
      </c>
      <c r="D20">
        <f ca="1">IF(ISBLANK(A20), "", IF(COUNTIF('Annotated Papers'!A:A,A20)&gt;1,1,0))</f>
        <v>0</v>
      </c>
      <c r="E20">
        <f ca="1">IF(ISBLANK(A20), "", IF(SUMIFS('Annotated Papers'!G:G, 'Annotated Papers'!A:A,A20)&gt;0,1,0))</f>
        <v>1</v>
      </c>
      <c r="F20">
        <f ca="1">IF(ISBLANK(A20), "", IF(SUMIFS('Annotated Papers'!H:H, 'Annotated Papers'!A:A,A20)&gt;0,1,0))</f>
        <v>0</v>
      </c>
      <c r="G20" t="e">
        <f ca="1">IF(ISBLANK(A20), "", IF(SUMIFS('Annotated Papers'!I:I, 'Annotated Papers'!A:A,A20)&gt;0,1,0))</f>
        <v>#NAME?</v>
      </c>
      <c r="H20">
        <f ca="1">IF(ISBLANK(A20), "", IF(SUMIFS('Annotated Papers'!L:L, 'Annotated Papers'!A:A,A20)&gt;0,1,0))</f>
        <v>0</v>
      </c>
    </row>
    <row r="21" spans="1:8" ht="15.75" customHeight="1">
      <c r="A21" s="26" t="str">
        <f ca="1">IFERROR(__xludf.DUMMYFUNCTION("""COMPUTED_VALUE"""),"Boosted Trees for Risk Prognosis")</f>
        <v>Boosted Trees for Risk Prognosis</v>
      </c>
      <c r="B21" t="str">
        <f ca="1">IF(ISBLANK(A21), "", VLOOKUP(A21,'Annotated Papers'!20:1059,2,FALSE))</f>
        <v>ML4H</v>
      </c>
      <c r="C21" s="24">
        <f ca="1">IF(ISBLANK(A21), "", VLOOKUP(A21,'Annotated Papers'!20:1059,5,FALSE))</f>
        <v>0</v>
      </c>
      <c r="D21">
        <f ca="1">IF(ISBLANK(A21), "", IF(COUNTIF('Annotated Papers'!A:A,A21)&gt;1,1,0))</f>
        <v>1</v>
      </c>
      <c r="E21">
        <f ca="1">IF(ISBLANK(A21), "", IF(SUMIFS('Annotated Papers'!G:G, 'Annotated Papers'!A:A,A21)&gt;0,1,0))</f>
        <v>1</v>
      </c>
      <c r="F21">
        <f ca="1">IF(ISBLANK(A21), "", IF(SUMIFS('Annotated Papers'!H:H, 'Annotated Papers'!A:A,A21)&gt;0,1,0))</f>
        <v>1</v>
      </c>
      <c r="G21" t="e">
        <f ca="1">IF(ISBLANK(A21), "", IF(SUMIFS('Annotated Papers'!I:I, 'Annotated Papers'!A:A,A21)&gt;0,1,0))</f>
        <v>#NAME?</v>
      </c>
      <c r="H21">
        <f ca="1">IF(ISBLANK(A21), "", IF(SUMIFS('Annotated Papers'!L:L, 'Annotated Papers'!A:A,A21)&gt;0,1,0))</f>
        <v>1</v>
      </c>
    </row>
    <row r="22" spans="1:8" ht="15.75" customHeight="1">
      <c r="A22" s="26" t="str">
        <f ca="1">IFERROR(__xludf.DUMMYFUNCTION("""COMPUTED_VALUE"""),"Racial Disparities and Mistrust in End-of-Life Care")</f>
        <v>Racial Disparities and Mistrust in End-of-Life Care</v>
      </c>
      <c r="B22" t="str">
        <f ca="1">IF(ISBLANK(A22), "", VLOOKUP(A22,'Annotated Papers'!21:1060,2,FALSE))</f>
        <v>ML4H</v>
      </c>
      <c r="C22" s="24">
        <f ca="1">IF(ISBLANK(A22), "", VLOOKUP(A22,'Annotated Papers'!21:1060,5,FALSE))</f>
        <v>1</v>
      </c>
      <c r="D22">
        <f ca="1">IF(ISBLANK(A22), "", IF(COUNTIF('Annotated Papers'!A:A,A22)&gt;1,1,0))</f>
        <v>0</v>
      </c>
      <c r="E22">
        <f ca="1">IF(ISBLANK(A22), "", IF(SUMIFS('Annotated Papers'!G:G, 'Annotated Papers'!A:A,A22)&gt;0,1,0))</f>
        <v>1</v>
      </c>
      <c r="F22">
        <f ca="1">IF(ISBLANK(A22), "", IF(SUMIFS('Annotated Papers'!H:H, 'Annotated Papers'!A:A,A22)&gt;0,1,0))</f>
        <v>1</v>
      </c>
      <c r="G22" t="e">
        <f ca="1">IF(ISBLANK(A22), "", IF(SUMIFS('Annotated Papers'!I:I, 'Annotated Papers'!A:A,A22)&gt;0,1,0))</f>
        <v>#NAME?</v>
      </c>
      <c r="H22">
        <f ca="1">IF(ISBLANK(A22), "", IF(SUMIFS('Annotated Papers'!L:L, 'Annotated Papers'!A:A,A22)&gt;0,1,0))</f>
        <v>1</v>
      </c>
    </row>
    <row r="23" spans="1:8" ht="15.75" customHeight="1">
      <c r="A23" s="26" t="str">
        <f ca="1">IFERROR(__xludf.DUMMYFUNCTION("""COMPUTED_VALUE"""),"Sequential Pattern Analysis on Neurosurgical Simulation Data")</f>
        <v>Sequential Pattern Analysis on Neurosurgical Simulation Data</v>
      </c>
      <c r="B23" t="str">
        <f ca="1">IF(ISBLANK(A23), "", VLOOKUP(A23,'Annotated Papers'!22:1061,2,FALSE))</f>
        <v>ML4H</v>
      </c>
      <c r="C23" s="24">
        <f ca="1">IF(ISBLANK(A23), "", VLOOKUP(A23,'Annotated Papers'!22:1061,5,FALSE))</f>
        <v>0</v>
      </c>
      <c r="D23">
        <f ca="1">IF(ISBLANK(A23), "", IF(COUNTIF('Annotated Papers'!A:A,A23)&gt;1,1,0))</f>
        <v>0</v>
      </c>
      <c r="E23">
        <f ca="1">IF(ISBLANK(A23), "", IF(SUMIFS('Annotated Papers'!G:G, 'Annotated Papers'!A:A,A23)&gt;0,1,0))</f>
        <v>0</v>
      </c>
      <c r="F23">
        <f ca="1">IF(ISBLANK(A23), "", IF(SUMIFS('Annotated Papers'!H:H, 'Annotated Papers'!A:A,A23)&gt;0,1,0))</f>
        <v>0</v>
      </c>
      <c r="G23" t="e">
        <f ca="1">IF(ISBLANK(A23), "", IF(SUMIFS('Annotated Papers'!I:I, 'Annotated Papers'!A:A,A23)&gt;0,1,0))</f>
        <v>#NAME?</v>
      </c>
      <c r="H23">
        <f ca="1">IF(ISBLANK(A23), "", IF(SUMIFS('Annotated Papers'!L:L, 'Annotated Papers'!A:A,A23)&gt;0,1,0))</f>
        <v>1</v>
      </c>
    </row>
    <row r="24" spans="1:8" ht="15.75" customHeight="1">
      <c r="A24" s="25" t="str">
        <f ca="1">IFERROR(__xludf.DUMMYFUNCTION("""COMPUTED_VALUE"""),"Multi-task multiple kernel learning reveals relevant frequency bands for critical areas localization in focal epilepsy")</f>
        <v>Multi-task multiple kernel learning reveals relevant frequency bands for critical areas localization in focal epilepsy</v>
      </c>
      <c r="B24" t="str">
        <f ca="1">IF(ISBLANK(A24), "", VLOOKUP(A24,'Annotated Papers'!23:1062,2,FALSE))</f>
        <v>ML4H</v>
      </c>
      <c r="C24" s="24">
        <f ca="1">IF(ISBLANK(A24), "", VLOOKUP(A24,'Annotated Papers'!23:1062,5,FALSE))</f>
        <v>0</v>
      </c>
      <c r="D24">
        <f ca="1">IF(ISBLANK(A24), "", IF(COUNTIF('Annotated Papers'!A:A,A24)&gt;1,1,0))</f>
        <v>0</v>
      </c>
      <c r="E24">
        <f ca="1">IF(ISBLANK(A24), "", IF(SUMIFS('Annotated Papers'!G:G, 'Annotated Papers'!A:A,A24)&gt;0,1,0))</f>
        <v>1</v>
      </c>
      <c r="F24">
        <f ca="1">IF(ISBLANK(A24), "", IF(SUMIFS('Annotated Papers'!H:H, 'Annotated Papers'!A:A,A24)&gt;0,1,0))</f>
        <v>0</v>
      </c>
      <c r="G24" t="e">
        <f ca="1">IF(ISBLANK(A24), "", IF(SUMIFS('Annotated Papers'!I:I, 'Annotated Papers'!A:A,A24)&gt;0,1,0))</f>
        <v>#NAME?</v>
      </c>
      <c r="H24">
        <f ca="1">IF(ISBLANK(A24), "", IF(SUMIFS('Annotated Papers'!L:L, 'Annotated Papers'!A:A,A24)&gt;0,1,0))</f>
        <v>1</v>
      </c>
    </row>
    <row r="25" spans="1:8" ht="15.75" customHeight="1">
      <c r="A25" s="25" t="str">
        <f ca="1">IFERROR(__xludf.DUMMYFUNCTION("""COMPUTED_VALUE"""),"Contextual Bandits for Adapting Treatment in a Mouse Model of de Novo Carcinogenesis")</f>
        <v>Contextual Bandits for Adapting Treatment in a Mouse Model of de Novo Carcinogenesis</v>
      </c>
      <c r="B25" t="str">
        <f ca="1">IF(ISBLANK(A25), "", VLOOKUP(A25,'Annotated Papers'!24:1063,2,FALSE))</f>
        <v>ML4H</v>
      </c>
      <c r="C25" s="24">
        <f ca="1">IF(ISBLANK(A25), "", VLOOKUP(A25,'Annotated Papers'!24:1063,5,FALSE))</f>
        <v>0</v>
      </c>
      <c r="D25">
        <f ca="1">IF(ISBLANK(A25), "", IF(COUNTIF('Annotated Papers'!A:A,A25)&gt;1,1,0))</f>
        <v>0</v>
      </c>
      <c r="E25">
        <f ca="1">IF(ISBLANK(A25), "", IF(SUMIFS('Annotated Papers'!G:G, 'Annotated Papers'!A:A,A25)&gt;0,1,0))</f>
        <v>0</v>
      </c>
      <c r="F25">
        <f ca="1">IF(ISBLANK(A25), "", IF(SUMIFS('Annotated Papers'!H:H, 'Annotated Papers'!A:A,A25)&gt;0,1,0))</f>
        <v>0</v>
      </c>
      <c r="G25" t="e">
        <f ca="1">IF(ISBLANK(A25), "", IF(SUMIFS('Annotated Papers'!I:I, 'Annotated Papers'!A:A,A25)&gt;0,1,0))</f>
        <v>#NAME?</v>
      </c>
      <c r="H25">
        <f ca="1">IF(ISBLANK(A25), "", IF(SUMIFS('Annotated Papers'!L:L, 'Annotated Papers'!A:A,A25)&gt;0,1,0))</f>
        <v>1</v>
      </c>
    </row>
    <row r="26" spans="1:8" ht="15.75" customHeight="1">
      <c r="A26" s="25" t="str">
        <f ca="1">IFERROR(__xludf.DUMMYFUNCTION("""COMPUTED_VALUE"""),"Predicting Smoking Events with a Time-Varying Semi-Parametric Hawkes Process Model")</f>
        <v>Predicting Smoking Events with a Time-Varying Semi-Parametric Hawkes Process Model</v>
      </c>
      <c r="B26" t="str">
        <f ca="1">IF(ISBLANK(A26), "", VLOOKUP(A26,'Annotated Papers'!25:1064,2,FALSE))</f>
        <v>ML4H</v>
      </c>
      <c r="C26" s="24">
        <f ca="1">IF(ISBLANK(A26), "", VLOOKUP(A26,'Annotated Papers'!25:1064,5,FALSE))</f>
        <v>0</v>
      </c>
      <c r="D26">
        <f ca="1">IF(ISBLANK(A26), "", IF(COUNTIF('Annotated Papers'!A:A,A26)&gt;1,1,0))</f>
        <v>0</v>
      </c>
      <c r="E26">
        <f ca="1">IF(ISBLANK(A26), "", IF(SUMIFS('Annotated Papers'!G:G, 'Annotated Papers'!A:A,A26)&gt;0,1,0))</f>
        <v>1</v>
      </c>
      <c r="F26">
        <f ca="1">IF(ISBLANK(A26), "", IF(SUMIFS('Annotated Papers'!H:H, 'Annotated Papers'!A:A,A26)&gt;0,1,0))</f>
        <v>0</v>
      </c>
      <c r="G26" t="e">
        <f ca="1">IF(ISBLANK(A26), "", IF(SUMIFS('Annotated Papers'!I:I, 'Annotated Papers'!A:A,A26)&gt;0,1,0))</f>
        <v>#NAME?</v>
      </c>
      <c r="H26">
        <f ca="1">IF(ISBLANK(A26), "", IF(SUMIFS('Annotated Papers'!L:L, 'Annotated Papers'!A:A,A26)&gt;0,1,0))</f>
        <v>0</v>
      </c>
    </row>
    <row r="27" spans="1:8" ht="15.75" customHeight="1">
      <c r="A27" s="25" t="str">
        <f ca="1">IFERROR(__xludf.DUMMYFUNCTION("""COMPUTED_VALUE"""),"Modeling ""Presentness"" of Electronic Health Record Data to Improve Patient State Estimation")</f>
        <v>Modeling "Presentness" of Electronic Health Record Data to Improve Patient State Estimation</v>
      </c>
      <c r="B27" t="str">
        <f ca="1">IF(ISBLANK(A27), "", VLOOKUP(A27,'Annotated Papers'!26:1065,2,FALSE))</f>
        <v>ML4H</v>
      </c>
      <c r="C27" s="24">
        <f ca="1">IF(ISBLANK(A27), "", VLOOKUP(A27,'Annotated Papers'!26:1065,5,FALSE))</f>
        <v>0</v>
      </c>
      <c r="D27">
        <f ca="1">IF(ISBLANK(A27), "", IF(COUNTIF('Annotated Papers'!A:A,A27)&gt;1,1,0))</f>
        <v>0</v>
      </c>
      <c r="E27">
        <f ca="1">IF(ISBLANK(A27), "", IF(SUMIFS('Annotated Papers'!G:G, 'Annotated Papers'!A:A,A27)&gt;0,1,0))</f>
        <v>1</v>
      </c>
      <c r="F27">
        <f ca="1">IF(ISBLANK(A27), "", IF(SUMIFS('Annotated Papers'!H:H, 'Annotated Papers'!A:A,A27)&gt;0,1,0))</f>
        <v>0</v>
      </c>
      <c r="G27">
        <f ca="1">IF(ISBLANK(A27), "", IF(SUMIFS('Annotated Papers'!I:I, 'Annotated Papers'!A:A,A27)&gt;0,1,0))</f>
        <v>0</v>
      </c>
      <c r="H27">
        <f ca="1">IF(ISBLANK(A27), "", IF(SUMIFS('Annotated Papers'!L:L, 'Annotated Papers'!A:A,A27)&gt;0,1,0))</f>
        <v>0</v>
      </c>
    </row>
    <row r="28" spans="1:8" ht="15.75" customHeight="1">
      <c r="A28" s="26" t="str">
        <f ca="1">IFERROR(__xludf.DUMMYFUNCTION("""COMPUTED_VALUE"""),"Learning to Summarize Electronic Health Records Using Cross-Modality Correspondences")</f>
        <v>Learning to Summarize Electronic Health Records Using Cross-Modality Correspondences</v>
      </c>
      <c r="B28" t="str">
        <f ca="1">IF(ISBLANK(A28), "", VLOOKUP(A28,'Annotated Papers'!27:1066,2,FALSE))</f>
        <v>ML4H</v>
      </c>
      <c r="C28" s="24">
        <f ca="1">IF(ISBLANK(A28), "", VLOOKUP(A28,'Annotated Papers'!27:1066,5,FALSE))</f>
        <v>0</v>
      </c>
      <c r="D28">
        <f ca="1">IF(ISBLANK(A28), "", IF(COUNTIF('Annotated Papers'!A:A,A28)&gt;1,1,0))</f>
        <v>0</v>
      </c>
      <c r="E28">
        <f ca="1">IF(ISBLANK(A28), "", IF(SUMIFS('Annotated Papers'!G:G, 'Annotated Papers'!A:A,A28)&gt;0,1,0))</f>
        <v>1</v>
      </c>
      <c r="F28">
        <f ca="1">IF(ISBLANK(A28), "", IF(SUMIFS('Annotated Papers'!H:H, 'Annotated Papers'!A:A,A28)&gt;0,1,0))</f>
        <v>1</v>
      </c>
      <c r="G28" t="e">
        <f ca="1">IF(ISBLANK(A28), "", IF(SUMIFS('Annotated Papers'!I:I, 'Annotated Papers'!A:A,A28)&gt;0,1,0))</f>
        <v>#NAME?</v>
      </c>
      <c r="H28">
        <f ca="1">IF(ISBLANK(A28), "", IF(SUMIFS('Annotated Papers'!L:L, 'Annotated Papers'!A:A,A28)&gt;0,1,0))</f>
        <v>1</v>
      </c>
    </row>
    <row r="29" spans="1:8" ht="15.75" customHeight="1">
      <c r="A29" s="26" t="str">
        <f ca="1">IFERROR(__xludf.DUMMYFUNCTION("""COMPUTED_VALUE"""),"Towards Understanding ECG Rhythm Classification Using Convolutional Neural Networks and Attention Mappings")</f>
        <v>Towards Understanding ECG Rhythm Classification Using Convolutional Neural Networks and Attention Mappings</v>
      </c>
      <c r="B29" t="str">
        <f ca="1">IF(ISBLANK(A29), "", VLOOKUP(A29,'Annotated Papers'!28:1067,2,FALSE))</f>
        <v>ML4H</v>
      </c>
      <c r="C29" s="24">
        <f ca="1">IF(ISBLANK(A29), "", VLOOKUP(A29,'Annotated Papers'!28:1067,5,FALSE))</f>
        <v>1</v>
      </c>
      <c r="D29">
        <f ca="1">IF(ISBLANK(A29), "", IF(COUNTIF('Annotated Papers'!A:A,A29)&gt;1,1,0))</f>
        <v>0</v>
      </c>
      <c r="E29">
        <f ca="1">IF(ISBLANK(A29), "", IF(SUMIFS('Annotated Papers'!G:G, 'Annotated Papers'!A:A,A29)&gt;0,1,0))</f>
        <v>0</v>
      </c>
      <c r="F29">
        <f ca="1">IF(ISBLANK(A29), "", IF(SUMIFS('Annotated Papers'!H:H, 'Annotated Papers'!A:A,A29)&gt;0,1,0))</f>
        <v>1</v>
      </c>
      <c r="G29" t="e">
        <f ca="1">IF(ISBLANK(A29), "", IF(SUMIFS('Annotated Papers'!I:I, 'Annotated Papers'!A:A,A29)&gt;0,1,0))</f>
        <v>#NAME?</v>
      </c>
      <c r="H29">
        <f ca="1">IF(ISBLANK(A29), "", IF(SUMIFS('Annotated Papers'!L:L, 'Annotated Papers'!A:A,A29)&gt;0,1,0))</f>
        <v>0</v>
      </c>
    </row>
    <row r="30" spans="1:8" ht="15.75" customHeight="1">
      <c r="A30" s="25" t="str">
        <f ca="1">IFERROR(__xludf.DUMMYFUNCTION("""COMPUTED_VALUE"""),"3D Point Cloud-Based Visual Prediction of ICU Mobility Care Activities")</f>
        <v>3D Point Cloud-Based Visual Prediction of ICU Mobility Care Activities</v>
      </c>
      <c r="B30" t="str">
        <f ca="1">IF(ISBLANK(A30), "", VLOOKUP(A30,'Annotated Papers'!29:1068,2,FALSE))</f>
        <v>ML4H</v>
      </c>
      <c r="C30" s="24">
        <f ca="1">IF(ISBLANK(A30), "", VLOOKUP(A30,'Annotated Papers'!29:1068,5,FALSE))</f>
        <v>0</v>
      </c>
      <c r="D30">
        <f ca="1">IF(ISBLANK(A30), "", IF(COUNTIF('Annotated Papers'!A:A,A30)&gt;1,1,0))</f>
        <v>0</v>
      </c>
      <c r="E30">
        <f ca="1">IF(ISBLANK(A30), "", IF(SUMIFS('Annotated Papers'!G:G, 'Annotated Papers'!A:A,A30)&gt;0,1,0))</f>
        <v>0</v>
      </c>
      <c r="F30">
        <f ca="1">IF(ISBLANK(A30), "", IF(SUMIFS('Annotated Papers'!H:H, 'Annotated Papers'!A:A,A30)&gt;0,1,0))</f>
        <v>0</v>
      </c>
      <c r="G30" t="e">
        <f ca="1">IF(ISBLANK(A30), "", IF(SUMIFS('Annotated Papers'!I:I, 'Annotated Papers'!A:A,A30)&gt;0,1,0))</f>
        <v>#NAME?</v>
      </c>
      <c r="H30">
        <f ca="1">IF(ISBLANK(A30), "", IF(SUMIFS('Annotated Papers'!L:L, 'Annotated Papers'!A:A,A30)&gt;0,1,0))</f>
        <v>0</v>
      </c>
    </row>
    <row r="31" spans="1:8" ht="15.75" customHeight="1">
      <c r="A31" s="26" t="str">
        <f ca="1">IFERROR(__xludf.DUMMYFUNCTION("""COMPUTED_VALUE"""),"Reproducible Survival Prediction with SEER Cancer Data")</f>
        <v>Reproducible Survival Prediction with SEER Cancer Data</v>
      </c>
      <c r="B31" t="str">
        <f ca="1">IF(ISBLANK(A31), "", VLOOKUP(A31,'Annotated Papers'!30:1069,2,FALSE))</f>
        <v>ML4H</v>
      </c>
      <c r="C31" s="24">
        <f ca="1">IF(ISBLANK(A31), "", VLOOKUP(A31,'Annotated Papers'!30:1069,5,FALSE))</f>
        <v>1</v>
      </c>
      <c r="D31">
        <f ca="1">IF(ISBLANK(A31), "", IF(COUNTIF('Annotated Papers'!A:A,A31)&gt;1,1,0))</f>
        <v>0</v>
      </c>
      <c r="E31">
        <f ca="1">IF(ISBLANK(A31), "", IF(SUMIFS('Annotated Papers'!G:G, 'Annotated Papers'!A:A,A31)&gt;0,1,0))</f>
        <v>1</v>
      </c>
      <c r="F31">
        <f ca="1">IF(ISBLANK(A31), "", IF(SUMIFS('Annotated Papers'!H:H, 'Annotated Papers'!A:A,A31)&gt;0,1,0))</f>
        <v>1</v>
      </c>
      <c r="G31" t="e">
        <f ca="1">IF(ISBLANK(A31), "", IF(SUMIFS('Annotated Papers'!I:I, 'Annotated Papers'!A:A,A31)&gt;0,1,0))</f>
        <v>#NAME?</v>
      </c>
      <c r="H31">
        <f ca="1">IF(ISBLANK(A31), "", IF(SUMIFS('Annotated Papers'!L:L, 'Annotated Papers'!A:A,A31)&gt;0,1,0))</f>
        <v>0</v>
      </c>
    </row>
    <row r="32" spans="1:8" ht="15.75" customHeight="1">
      <c r="A32" s="26" t="str">
        <f ca="1">IFERROR(__xludf.DUMMYFUNCTION("""COMPUTED_VALUE"""),"Bayesian Trees for Automated Cytometry Data Analysis")</f>
        <v>Bayesian Trees for Automated Cytometry Data Analysis</v>
      </c>
      <c r="B32" t="str">
        <f ca="1">IF(ISBLANK(A32), "", VLOOKUP(A32,'Annotated Papers'!31:1070,2,FALSE))</f>
        <v>ML4H</v>
      </c>
      <c r="C32" s="24">
        <f ca="1">IF(ISBLANK(A32), "", VLOOKUP(A32,'Annotated Papers'!31:1070,5,FALSE))</f>
        <v>0</v>
      </c>
      <c r="D32">
        <f ca="1">IF(ISBLANK(A32), "", IF(COUNTIF('Annotated Papers'!A:A,A32)&gt;1,1,0))</f>
        <v>1</v>
      </c>
      <c r="E32">
        <f ca="1">IF(ISBLANK(A32), "", IF(SUMIFS('Annotated Papers'!G:G, 'Annotated Papers'!A:A,A32)&gt;0,1,0))</f>
        <v>0</v>
      </c>
      <c r="F32">
        <f ca="1">IF(ISBLANK(A32), "", IF(SUMIFS('Annotated Papers'!H:H, 'Annotated Papers'!A:A,A32)&gt;0,1,0))</f>
        <v>1</v>
      </c>
      <c r="G32" t="e">
        <f ca="1">IF(ISBLANK(A32), "", IF(SUMIFS('Annotated Papers'!I:I, 'Annotated Papers'!A:A,A32)&gt;0,1,0))</f>
        <v>#NAME?</v>
      </c>
      <c r="H32">
        <f ca="1">IF(ISBLANK(A32), "", IF(SUMIFS('Annotated Papers'!L:L, 'Annotated Papers'!A:A,A32)&gt;0,1,0))</f>
        <v>0</v>
      </c>
    </row>
    <row r="33" spans="1:8" ht="15.75" customHeight="1">
      <c r="A33" s="26" t="str">
        <f ca="1">IFERROR(__xludf.DUMMYFUNCTION("""COMPUTED_VALUE"""),"Disease-Atlas: Navigating Disease Trajectories using Deep Learning")</f>
        <v>Disease-Atlas: Navigating Disease Trajectories using Deep Learning</v>
      </c>
      <c r="B33" t="str">
        <f ca="1">IF(ISBLANK(A33), "", VLOOKUP(A33,'Annotated Papers'!32:1071,2,FALSE))</f>
        <v>ML4H</v>
      </c>
      <c r="C33" s="24">
        <f ca="1">IF(ISBLANK(A33), "", VLOOKUP(A33,'Annotated Papers'!32:1071,5,FALSE))</f>
        <v>0</v>
      </c>
      <c r="D33">
        <f ca="1">IF(ISBLANK(A33), "", IF(COUNTIF('Annotated Papers'!A:A,A33)&gt;1,1,0))</f>
        <v>0</v>
      </c>
      <c r="E33">
        <f ca="1">IF(ISBLANK(A33), "", IF(SUMIFS('Annotated Papers'!G:G, 'Annotated Papers'!A:A,A33)&gt;0,1,0))</f>
        <v>1</v>
      </c>
      <c r="F33">
        <f ca="1">IF(ISBLANK(A33), "", IF(SUMIFS('Annotated Papers'!H:H, 'Annotated Papers'!A:A,A33)&gt;0,1,0))</f>
        <v>1</v>
      </c>
      <c r="G33" t="e">
        <f ca="1">IF(ISBLANK(A33), "", IF(SUMIFS('Annotated Papers'!I:I, 'Annotated Papers'!A:A,A33)&gt;0,1,0))</f>
        <v>#NAME?</v>
      </c>
      <c r="H33">
        <f ca="1">IF(ISBLANK(A33), "", IF(SUMIFS('Annotated Papers'!L:L, 'Annotated Papers'!A:A,A33)&gt;0,1,0))</f>
        <v>1</v>
      </c>
    </row>
    <row r="34" spans="1:8" ht="15.75" customHeight="1">
      <c r="A34" s="25" t="str">
        <f ca="1">IFERROR(__xludf.DUMMYFUNCTION("""COMPUTED_VALUE"""),"Automated Treatment Planning in Radiation Therapy using Generative Adversarial Networks")</f>
        <v>Automated Treatment Planning in Radiation Therapy using Generative Adversarial Networks</v>
      </c>
      <c r="B34" t="str">
        <f ca="1">IF(ISBLANK(A34), "", VLOOKUP(A34,'Annotated Papers'!33:1072,2,FALSE))</f>
        <v>ML4H</v>
      </c>
      <c r="C34" s="24">
        <f ca="1">IF(ISBLANK(A34), "", VLOOKUP(A34,'Annotated Papers'!33:1072,5,FALSE))</f>
        <v>0</v>
      </c>
      <c r="D34">
        <f ca="1">IF(ISBLANK(A34), "", IF(COUNTIF('Annotated Papers'!A:A,A34)&gt;1,1,0))</f>
        <v>0</v>
      </c>
      <c r="E34">
        <f ca="1">IF(ISBLANK(A34), "", IF(SUMIFS('Annotated Papers'!G:G, 'Annotated Papers'!A:A,A34)&gt;0,1,0))</f>
        <v>1</v>
      </c>
      <c r="F34">
        <f ca="1">IF(ISBLANK(A34), "", IF(SUMIFS('Annotated Papers'!H:H, 'Annotated Papers'!A:A,A34)&gt;0,1,0))</f>
        <v>0</v>
      </c>
      <c r="G34" t="e">
        <f ca="1">IF(ISBLANK(A34), "", IF(SUMIFS('Annotated Papers'!I:I, 'Annotated Papers'!A:A,A34)&gt;0,1,0))</f>
        <v>#NAME?</v>
      </c>
      <c r="H34">
        <f ca="1">IF(ISBLANK(A34), "", IF(SUMIFS('Annotated Papers'!L:L, 'Annotated Papers'!A:A,A34)&gt;0,1,0))</f>
        <v>0</v>
      </c>
    </row>
    <row r="35" spans="1:8" ht="15.75" customHeight="1">
      <c r="A35" s="25" t="str">
        <f ca="1">IFERROR(__xludf.DUMMYFUNCTION("""COMPUTED_VALUE"""),"Representational Learning Approaches for ECG Dynamics to Detect False Arrhythmia Alarms")</f>
        <v>Representational Learning Approaches for ECG Dynamics to Detect False Arrhythmia Alarms</v>
      </c>
      <c r="B35" t="str">
        <f ca="1">IF(ISBLANK(A35), "", VLOOKUP(A35,'Annotated Papers'!34:1073,2,FALSE))</f>
        <v>ML4H</v>
      </c>
      <c r="C35" s="24">
        <f ca="1">IF(ISBLANK(A35), "", VLOOKUP(A35,'Annotated Papers'!34:1073,5,FALSE))</f>
        <v>0</v>
      </c>
      <c r="D35">
        <f ca="1">IF(ISBLANK(A35), "", IF(COUNTIF('Annotated Papers'!A:A,A35)&gt;1,1,0))</f>
        <v>1</v>
      </c>
      <c r="E35">
        <f ca="1">IF(ISBLANK(A35), "", IF(SUMIFS('Annotated Papers'!G:G, 'Annotated Papers'!A:A,A35)&gt;0,1,0))</f>
        <v>0</v>
      </c>
      <c r="F35">
        <f ca="1">IF(ISBLANK(A35), "", IF(SUMIFS('Annotated Papers'!H:H, 'Annotated Papers'!A:A,A35)&gt;0,1,0))</f>
        <v>1</v>
      </c>
      <c r="G35" t="e">
        <f ca="1">IF(ISBLANK(A35), "", IF(SUMIFS('Annotated Papers'!I:I, 'Annotated Papers'!A:A,A35)&gt;0,1,0))</f>
        <v>#NAME?</v>
      </c>
      <c r="H35">
        <f ca="1">IF(ISBLANK(A35), "", IF(SUMIFS('Annotated Papers'!L:L, 'Annotated Papers'!A:A,A35)&gt;0,1,0))</f>
        <v>1</v>
      </c>
    </row>
    <row r="36" spans="1:8" ht="15.75" customHeight="1">
      <c r="A36" s="25" t="str">
        <f ca="1">IFERROR(__xludf.DUMMYFUNCTION("""COMPUTED_VALUE"""),"Deep Spine: Automated Lumbar Vertebral Segmentation, Disc-Level Designation, and Spinal Stenosis Grading Using Deep Learning")</f>
        <v>Deep Spine: Automated Lumbar Vertebral Segmentation, Disc-Level Designation, and Spinal Stenosis Grading Using Deep Learning</v>
      </c>
      <c r="B36" t="str">
        <f ca="1">IF(ISBLANK(A36), "", VLOOKUP(A36,'Annotated Papers'!35:1074,2,FALSE))</f>
        <v>ML4H</v>
      </c>
      <c r="C36" s="24">
        <f ca="1">IF(ISBLANK(A36), "", VLOOKUP(A36,'Annotated Papers'!35:1074,5,FALSE))</f>
        <v>0</v>
      </c>
      <c r="D36">
        <f ca="1">IF(ISBLANK(A36), "", IF(COUNTIF('Annotated Papers'!A:A,A36)&gt;1,1,0))</f>
        <v>0</v>
      </c>
      <c r="E36">
        <f ca="1">IF(ISBLANK(A36), "", IF(SUMIFS('Annotated Papers'!G:G, 'Annotated Papers'!A:A,A36)&gt;0,1,0))</f>
        <v>1</v>
      </c>
      <c r="F36">
        <f ca="1">IF(ISBLANK(A36), "", IF(SUMIFS('Annotated Papers'!H:H, 'Annotated Papers'!A:A,A36)&gt;0,1,0))</f>
        <v>0</v>
      </c>
      <c r="G36" t="e">
        <f ca="1">IF(ISBLANK(A36), "", IF(SUMIFS('Annotated Papers'!I:I, 'Annotated Papers'!A:A,A36)&gt;0,1,0))</f>
        <v>#NAME?</v>
      </c>
      <c r="H36">
        <f ca="1">IF(ISBLANK(A36), "", IF(SUMIFS('Annotated Papers'!L:L, 'Annotated Papers'!A:A,A36)&gt;0,1,0))</f>
        <v>1</v>
      </c>
    </row>
    <row r="37" spans="1:8" ht="15.75" customHeight="1">
      <c r="A37" s="25" t="str">
        <f ca="1">IFERROR(__xludf.DUMMYFUNCTION("""COMPUTED_VALUE"""),"Integrating Hypertension Phenotype and Genotype with Hybrid Non-negative Matrix Factorization")</f>
        <v>Integrating Hypertension Phenotype and Genotype with Hybrid Non-negative Matrix Factorization</v>
      </c>
      <c r="B37" t="str">
        <f ca="1">IF(ISBLANK(A37), "", VLOOKUP(A37,'Annotated Papers'!36:1075,2,FALSE))</f>
        <v>ML4H</v>
      </c>
      <c r="C37" s="24">
        <f ca="1">IF(ISBLANK(A37), "", VLOOKUP(A37,'Annotated Papers'!36:1075,5,FALSE))</f>
        <v>0</v>
      </c>
      <c r="D37">
        <f ca="1">IF(ISBLANK(A37), "", IF(COUNTIF('Annotated Papers'!A:A,A37)&gt;1,1,0))</f>
        <v>1</v>
      </c>
      <c r="E37">
        <f ca="1">IF(ISBLANK(A37), "", IF(SUMIFS('Annotated Papers'!G:G, 'Annotated Papers'!A:A,A37)&gt;0,1,0))</f>
        <v>1</v>
      </c>
      <c r="F37">
        <f ca="1">IF(ISBLANK(A37), "", IF(SUMIFS('Annotated Papers'!H:H, 'Annotated Papers'!A:A,A37)&gt;0,1,0))</f>
        <v>1</v>
      </c>
      <c r="G37" t="e">
        <f ca="1">IF(ISBLANK(A37), "", IF(SUMIFS('Annotated Papers'!I:I, 'Annotated Papers'!A:A,A37)&gt;0,1,0))</f>
        <v>#NAME?</v>
      </c>
      <c r="H37">
        <f ca="1">IF(ISBLANK(A37), "", IF(SUMIFS('Annotated Papers'!L:L, 'Annotated Papers'!A:A,A37)&gt;0,1,0))</f>
        <v>0</v>
      </c>
    </row>
    <row r="38" spans="1:8" ht="15.75" customHeight="1">
      <c r="A38" s="26" t="str">
        <f ca="1">IFERROR(__xludf.DUMMYFUNCTION("""COMPUTED_VALUE"""),"Computer Vision-based Descriptive Analytics of Seniors' Daily Activities for Long-term Health Monitoring")</f>
        <v>Computer Vision-based Descriptive Analytics of Seniors' Daily Activities for Long-term Health Monitoring</v>
      </c>
      <c r="B38" t="str">
        <f ca="1">IF(ISBLANK(A38), "", VLOOKUP(A38,'Annotated Papers'!37:1076,2,FALSE))</f>
        <v>ML4H</v>
      </c>
      <c r="C38" s="24">
        <f ca="1">IF(ISBLANK(A38), "", VLOOKUP(A38,'Annotated Papers'!37:1076,5,FALSE))</f>
        <v>0</v>
      </c>
      <c r="D38">
        <f ca="1">IF(ISBLANK(A38), "", IF(COUNTIF('Annotated Papers'!A:A,A38)&gt;1,1,0))</f>
        <v>0</v>
      </c>
      <c r="E38">
        <f ca="1">IF(ISBLANK(A38), "", IF(SUMIFS('Annotated Papers'!G:G, 'Annotated Papers'!A:A,A38)&gt;0,1,0))</f>
        <v>1</v>
      </c>
      <c r="F38">
        <f ca="1">IF(ISBLANK(A38), "", IF(SUMIFS('Annotated Papers'!H:H, 'Annotated Papers'!A:A,A38)&gt;0,1,0))</f>
        <v>0</v>
      </c>
      <c r="G38" t="e">
        <f ca="1">IF(ISBLANK(A38), "", IF(SUMIFS('Annotated Papers'!I:I, 'Annotated Papers'!A:A,A38)&gt;0,1,0))</f>
        <v>#NAME?</v>
      </c>
      <c r="H38">
        <f ca="1">IF(ISBLANK(A38), "", IF(SUMIFS('Annotated Papers'!L:L, 'Annotated Papers'!A:A,A38)&gt;0,1,0))</f>
        <v>0</v>
      </c>
    </row>
    <row r="39" spans="1:8" ht="15.75" customHeight="1">
      <c r="A39" s="26" t="str">
        <f ca="1">IFERROR(__xludf.DUMMYFUNCTION("""COMPUTED_VALUE"""),"Integrating Machine Learning and Optimization Methods for Imaging of Patients with Prostate Cancer")</f>
        <v>Integrating Machine Learning and Optimization Methods for Imaging of Patients with Prostate Cancer</v>
      </c>
      <c r="B39" t="str">
        <f ca="1">IF(ISBLANK(A39), "", VLOOKUP(A39,'Annotated Papers'!38:1077,2,FALSE))</f>
        <v>ML4H</v>
      </c>
      <c r="C39" s="24">
        <f ca="1">IF(ISBLANK(A39), "", VLOOKUP(A39,'Annotated Papers'!38:1077,5,FALSE))</f>
        <v>0</v>
      </c>
      <c r="D39">
        <f ca="1">IF(ISBLANK(A39), "", IF(COUNTIF('Annotated Papers'!A:A,A39)&gt;1,1,0))</f>
        <v>0</v>
      </c>
      <c r="E39">
        <f ca="1">IF(ISBLANK(A39), "", IF(SUMIFS('Annotated Papers'!G:G, 'Annotated Papers'!A:A,A39)&gt;0,1,0))</f>
        <v>1</v>
      </c>
      <c r="F39">
        <f ca="1">IF(ISBLANK(A39), "", IF(SUMIFS('Annotated Papers'!H:H, 'Annotated Papers'!A:A,A39)&gt;0,1,0))</f>
        <v>0</v>
      </c>
      <c r="G39" t="e">
        <f ca="1">IF(ISBLANK(A39), "", IF(SUMIFS('Annotated Papers'!I:I, 'Annotated Papers'!A:A,A39)&gt;0,1,0))</f>
        <v>#NAME?</v>
      </c>
      <c r="H39">
        <f ca="1">IF(ISBLANK(A39), "", IF(SUMIFS('Annotated Papers'!L:L, 'Annotated Papers'!A:A,A39)&gt;0,1,0))</f>
        <v>1</v>
      </c>
    </row>
    <row r="40" spans="1:8" ht="15.75" customHeight="1">
      <c r="A40" s="25" t="str">
        <f ca="1">IFERROR(__xludf.DUMMYFUNCTION("""COMPUTED_VALUE"""),"ConvSCCS: Convolutional Self-Controlled Case Series Model for Lagged Adverse Event Detection")</f>
        <v>ConvSCCS: Convolutional Self-Controlled Case Series Model for Lagged Adverse Event Detection</v>
      </c>
      <c r="B40" t="str">
        <f ca="1">IF(ISBLANK(A40), "", VLOOKUP(A40,'Annotated Papers'!39:1078,2,FALSE))</f>
        <v>ML4H</v>
      </c>
      <c r="C40" s="24">
        <f ca="1">IF(ISBLANK(A40), "", VLOOKUP(A40,'Annotated Papers'!39:1078,5,FALSE))</f>
        <v>0</v>
      </c>
      <c r="D40">
        <f ca="1">IF(ISBLANK(A40), "", IF(COUNTIF('Annotated Papers'!A:A,A40)&gt;1,1,0))</f>
        <v>1</v>
      </c>
      <c r="E40">
        <f ca="1">IF(ISBLANK(A40), "", IF(SUMIFS('Annotated Papers'!G:G, 'Annotated Papers'!A:A,A40)&gt;0,1,0))</f>
        <v>1</v>
      </c>
      <c r="F40">
        <f ca="1">IF(ISBLANK(A40), "", IF(SUMIFS('Annotated Papers'!H:H, 'Annotated Papers'!A:A,A40)&gt;0,1,0))</f>
        <v>1</v>
      </c>
      <c r="G40" t="e">
        <f ca="1">IF(ISBLANK(A40), "", IF(SUMIFS('Annotated Papers'!I:I, 'Annotated Papers'!A:A,A40)&gt;0,1,0))</f>
        <v>#NAME?</v>
      </c>
      <c r="H40">
        <f ca="1">IF(ISBLANK(A40), "", IF(SUMIFS('Annotated Papers'!L:L, 'Annotated Papers'!A:A,A40)&gt;0,1,0))</f>
        <v>1</v>
      </c>
    </row>
    <row r="41" spans="1:8" ht="15.75" customHeight="1">
      <c r="A41" s="25" t="str">
        <f ca="1">IFERROR(__xludf.DUMMYFUNCTION("""COMPUTED_VALUE"""),"Deep Survival Analysis: Nonparametrics and Missingness")</f>
        <v>Deep Survival Analysis: Nonparametrics and Missingness</v>
      </c>
      <c r="B41" t="str">
        <f ca="1">IF(ISBLANK(A41), "", VLOOKUP(A41,'Annotated Papers'!40:1079,2,FALSE))</f>
        <v>ML4H</v>
      </c>
      <c r="C41" s="24">
        <f ca="1">IF(ISBLANK(A41), "", VLOOKUP(A41,'Annotated Papers'!40:1079,5,FALSE))</f>
        <v>0</v>
      </c>
      <c r="D41">
        <f ca="1">IF(ISBLANK(A41), "", IF(COUNTIF('Annotated Papers'!A:A,A41)&gt;1,1,0))</f>
        <v>0</v>
      </c>
      <c r="E41">
        <f ca="1">IF(ISBLANK(A41), "", IF(SUMIFS('Annotated Papers'!G:G, 'Annotated Papers'!A:A,A41)&gt;0,1,0))</f>
        <v>1</v>
      </c>
      <c r="F41">
        <f ca="1">IF(ISBLANK(A41), "", IF(SUMIFS('Annotated Papers'!H:H, 'Annotated Papers'!A:A,A41)&gt;0,1,0))</f>
        <v>0</v>
      </c>
      <c r="G41" t="e">
        <f ca="1">IF(ISBLANK(A41), "", IF(SUMIFS('Annotated Papers'!I:I, 'Annotated Papers'!A:A,A41)&gt;0,1,0))</f>
        <v>#NAME?</v>
      </c>
      <c r="H41">
        <f ca="1">IF(ISBLANK(A41), "", IF(SUMIFS('Annotated Papers'!L:L, 'Annotated Papers'!A:A,A41)&gt;0,1,0))</f>
        <v>0</v>
      </c>
    </row>
    <row r="42" spans="1:8" ht="15.75" customHeight="1">
      <c r="A42" s="26" t="str">
        <f ca="1">IFERROR(__xludf.DUMMYFUNCTION("""COMPUTED_VALUE"""),"Learning to Exploit Invariances in Clinical Time-Series Data using Sequence Transformer Networks")</f>
        <v>Learning to Exploit Invariances in Clinical Time-Series Data using Sequence Transformer Networks</v>
      </c>
      <c r="B42" t="str">
        <f ca="1">IF(ISBLANK(A42), "", VLOOKUP(A42,'Annotated Papers'!41:1080,2,FALSE))</f>
        <v>ML4H</v>
      </c>
      <c r="C42" s="24">
        <f ca="1">IF(ISBLANK(A42), "", VLOOKUP(A42,'Annotated Papers'!41:1080,5,FALSE))</f>
        <v>0</v>
      </c>
      <c r="D42">
        <f ca="1">IF(ISBLANK(A42), "", IF(COUNTIF('Annotated Papers'!A:A,A42)&gt;1,1,0))</f>
        <v>0</v>
      </c>
      <c r="E42">
        <f ca="1">IF(ISBLANK(A42), "", IF(SUMIFS('Annotated Papers'!G:G, 'Annotated Papers'!A:A,A42)&gt;0,1,0))</f>
        <v>1</v>
      </c>
      <c r="F42">
        <f ca="1">IF(ISBLANK(A42), "", IF(SUMIFS('Annotated Papers'!H:H, 'Annotated Papers'!A:A,A42)&gt;0,1,0))</f>
        <v>1</v>
      </c>
      <c r="G42" t="e">
        <f ca="1">IF(ISBLANK(A42), "", IF(SUMIFS('Annotated Papers'!I:I, 'Annotated Papers'!A:A,A42)&gt;0,1,0))</f>
        <v>#NAME?</v>
      </c>
      <c r="H42">
        <f ca="1">IF(ISBLANK(A42), "", IF(SUMIFS('Annotated Papers'!L:L, 'Annotated Papers'!A:A,A42)&gt;0,1,0))</f>
        <v>1</v>
      </c>
    </row>
    <row r="43" spans="1:8" ht="15.75" customHeight="1">
      <c r="A43" s="26" t="str">
        <f ca="1">IFERROR(__xludf.DUMMYFUNCTION("""COMPUTED_VALUE"""),"Learning from the experts: From diagnostic expert systems to machine learning diagnosis models")</f>
        <v>Learning from the experts: From diagnostic expert systems to machine learning diagnosis models</v>
      </c>
      <c r="B43" t="str">
        <f ca="1">IF(ISBLANK(A43), "", VLOOKUP(A43,'Annotated Papers'!42:1081,2,FALSE))</f>
        <v>ML4H</v>
      </c>
      <c r="C43" s="24">
        <f ca="1">IF(ISBLANK(A43), "", VLOOKUP(A43,'Annotated Papers'!42:1081,5,FALSE))</f>
        <v>0</v>
      </c>
      <c r="D43">
        <f ca="1">IF(ISBLANK(A43), "", IF(COUNTIF('Annotated Papers'!A:A,A43)&gt;1,1,0))</f>
        <v>1</v>
      </c>
      <c r="E43">
        <f ca="1">IF(ISBLANK(A43), "", IF(SUMIFS('Annotated Papers'!G:G, 'Annotated Papers'!A:A,A43)&gt;0,1,0))</f>
        <v>1</v>
      </c>
      <c r="F43">
        <f ca="1">IF(ISBLANK(A43), "", IF(SUMIFS('Annotated Papers'!H:H, 'Annotated Papers'!A:A,A43)&gt;0,1,0))</f>
        <v>1</v>
      </c>
      <c r="G43" t="e">
        <f ca="1">IF(ISBLANK(A43), "", IF(SUMIFS('Annotated Papers'!I:I, 'Annotated Papers'!A:A,A43)&gt;0,1,0))</f>
        <v>#NAME?</v>
      </c>
      <c r="H43">
        <f ca="1">IF(ISBLANK(A43), "", IF(SUMIFS('Annotated Papers'!L:L, 'Annotated Papers'!A:A,A43)&gt;0,1,0))</f>
        <v>0</v>
      </c>
    </row>
    <row r="44" spans="1:8" ht="15.75" customHeight="1">
      <c r="A44" s="25" t="str">
        <f ca="1">IFERROR(__xludf.DUMMYFUNCTION("""COMPUTED_VALUE"""),"Effective Use of Bidirectional Language Modeling for Medical Named Entity Recognition")</f>
        <v>Effective Use of Bidirectional Language Modeling for Medical Named Entity Recognition</v>
      </c>
      <c r="B44" t="str">
        <f ca="1">IF(ISBLANK(A44), "", VLOOKUP(A44,'Annotated Papers'!43:1082,2,FALSE))</f>
        <v>ML4H</v>
      </c>
      <c r="C44" s="24">
        <f ca="1">IF(ISBLANK(A44), "", VLOOKUP(A44,'Annotated Papers'!43:1082,5,FALSE))</f>
        <v>0</v>
      </c>
      <c r="D44">
        <f ca="1">IF(ISBLANK(A44), "", IF(COUNTIF('Annotated Papers'!A:A,A44)&gt;1,1,0))</f>
        <v>1</v>
      </c>
      <c r="E44">
        <f ca="1">IF(ISBLANK(A44), "", IF(SUMIFS('Annotated Papers'!G:G, 'Annotated Papers'!A:A,A44)&gt;0,1,0))</f>
        <v>0</v>
      </c>
      <c r="F44">
        <f ca="1">IF(ISBLANK(A44), "", IF(SUMIFS('Annotated Papers'!H:H, 'Annotated Papers'!A:A,A44)&gt;0,1,0))</f>
        <v>1</v>
      </c>
      <c r="G44" t="e">
        <f ca="1">IF(ISBLANK(A44), "", IF(SUMIFS('Annotated Papers'!I:I, 'Annotated Papers'!A:A,A44)&gt;0,1,0))</f>
        <v>#NAME?</v>
      </c>
      <c r="H44">
        <f ca="1">IF(ISBLANK(A44), "", IF(SUMIFS('Annotated Papers'!L:L, 'Annotated Papers'!A:A,A44)&gt;0,1,0))</f>
        <v>0</v>
      </c>
    </row>
    <row r="45" spans="1:8" ht="15.75" customHeight="1">
      <c r="A45" s="26" t="str">
        <f ca="1">IFERROR(__xludf.DUMMYFUNCTION("""COMPUTED_VALUE"""),"A Domain Guided CNN Architecture for Predicting Age from Structural Brain Images")</f>
        <v>A Domain Guided CNN Architecture for Predicting Age from Structural Brain Images</v>
      </c>
      <c r="B45" t="str">
        <f ca="1">IF(ISBLANK(A45), "", VLOOKUP(A45,'Annotated Papers'!44:1083,2,FALSE))</f>
        <v>ML4H</v>
      </c>
      <c r="C45" s="24">
        <f ca="1">IF(ISBLANK(A45), "", VLOOKUP(A45,'Annotated Papers'!44:1083,5,FALSE))</f>
        <v>1</v>
      </c>
      <c r="D45">
        <f ca="1">IF(ISBLANK(A45), "", IF(COUNTIF('Annotated Papers'!A:A,A45)&gt;1,1,0))</f>
        <v>0</v>
      </c>
      <c r="E45">
        <f ca="1">IF(ISBLANK(A45), "", IF(SUMIFS('Annotated Papers'!G:G, 'Annotated Papers'!A:A,A45)&gt;0,1,0))</f>
        <v>1</v>
      </c>
      <c r="F45">
        <f ca="1">IF(ISBLANK(A45), "", IF(SUMIFS('Annotated Papers'!H:H, 'Annotated Papers'!A:A,A45)&gt;0,1,0))</f>
        <v>1</v>
      </c>
      <c r="G45" t="e">
        <f ca="1">IF(ISBLANK(A45), "", IF(SUMIFS('Annotated Papers'!I:I, 'Annotated Papers'!A:A,A45)&gt;0,1,0))</f>
        <v>#NAME?</v>
      </c>
      <c r="H45">
        <f ca="1">IF(ISBLANK(A45), "", IF(SUMIFS('Annotated Papers'!L:L, 'Annotated Papers'!A:A,A45)&gt;0,1,0))</f>
        <v>1</v>
      </c>
    </row>
    <row r="46" spans="1:8" ht="15.75" customHeight="1">
      <c r="A46" s="25" t="str">
        <f ca="1">IFERROR(__xludf.DUMMYFUNCTION("""COMPUTED_VALUE"""),"Phenotyping Endometriosis through Mixed Membership Models of Self-Tracking Data")</f>
        <v>Phenotyping Endometriosis through Mixed Membership Models of Self-Tracking Data</v>
      </c>
      <c r="B46" t="str">
        <f ca="1">IF(ISBLANK(A46), "", VLOOKUP(A46,'Annotated Papers'!45:1084,2,FALSE))</f>
        <v>ML4H</v>
      </c>
      <c r="C46" s="24">
        <f ca="1">IF(ISBLANK(A46), "", VLOOKUP(A46,'Annotated Papers'!45:1084,5,FALSE))</f>
        <v>0</v>
      </c>
      <c r="D46">
        <f ca="1">IF(ISBLANK(A46), "", IF(COUNTIF('Annotated Papers'!A:A,A46)&gt;1,1,0))</f>
        <v>0</v>
      </c>
      <c r="E46">
        <f ca="1">IF(ISBLANK(A46), "", IF(SUMIFS('Annotated Papers'!G:G, 'Annotated Papers'!A:A,A46)&gt;0,1,0))</f>
        <v>1</v>
      </c>
      <c r="F46">
        <f ca="1">IF(ISBLANK(A46), "", IF(SUMIFS('Annotated Papers'!H:H, 'Annotated Papers'!A:A,A46)&gt;0,1,0))</f>
        <v>0</v>
      </c>
      <c r="G46" t="e">
        <f ca="1">IF(ISBLANK(A46), "", IF(SUMIFS('Annotated Papers'!I:I, 'Annotated Papers'!A:A,A46)&gt;0,1,0))</f>
        <v>#NAME?</v>
      </c>
      <c r="H46">
        <f ca="1">IF(ISBLANK(A46), "", IF(SUMIFS('Annotated Papers'!L:L, 'Annotated Papers'!A:A,A46)&gt;0,1,0))</f>
        <v>1</v>
      </c>
    </row>
    <row r="47" spans="1:8" ht="15.75" customHeight="1">
      <c r="A47" s="26" t="str">
        <f ca="1">IFERROR(__xludf.DUMMYFUNCTION("""COMPUTED_VALUE"""),"Preference Learning in Assistive Robotics: Observational Repeated Inverse Reinforcement Learning")</f>
        <v>Preference Learning in Assistive Robotics: Observational Repeated Inverse Reinforcement Learning</v>
      </c>
      <c r="B47" t="str">
        <f ca="1">IF(ISBLANK(A47), "", VLOOKUP(A47,'Annotated Papers'!46:1085,2,FALSE))</f>
        <v>ML4H</v>
      </c>
      <c r="C47" s="24">
        <f ca="1">IF(ISBLANK(A47), "", VLOOKUP(A47,'Annotated Papers'!46:1085,5,FALSE))</f>
        <v>0</v>
      </c>
      <c r="D47">
        <f ca="1">IF(ISBLANK(A47), "", IF(COUNTIF('Annotated Papers'!A:A,A47)&gt;1,1,0))</f>
        <v>0</v>
      </c>
      <c r="E47">
        <f ca="1">IF(ISBLANK(A47), "", IF(SUMIFS('Annotated Papers'!G:G, 'Annotated Papers'!A:A,A47)&gt;0,1,0))</f>
        <v>1</v>
      </c>
      <c r="F47">
        <f ca="1">IF(ISBLANK(A47), "", IF(SUMIFS('Annotated Papers'!H:H, 'Annotated Papers'!A:A,A47)&gt;0,1,0))</f>
        <v>0</v>
      </c>
      <c r="G47" t="e">
        <f ca="1">IF(ISBLANK(A47), "", IF(SUMIFS('Annotated Papers'!I:I, 'Annotated Papers'!A:A,A47)&gt;0,1,0))</f>
        <v>#NAME?</v>
      </c>
      <c r="H47">
        <f ca="1">IF(ISBLANK(A47), "", IF(SUMIFS('Annotated Papers'!L:L, 'Annotated Papers'!A:A,A47)&gt;0,1,0))</f>
        <v>0</v>
      </c>
    </row>
    <row r="48" spans="1:8" ht="15.75" customHeight="1">
      <c r="A48" s="26" t="str">
        <f ca="1">IFERROR(__xludf.DUMMYFUNCTION("""COMPUTED_VALUE"""),"Reinforcement Learning with Action-Derived Rewards for Chemotherapy and Clinical Trial Dosing Regimen Selection")</f>
        <v>Reinforcement Learning with Action-Derived Rewards for Chemotherapy and Clinical Trial Dosing Regimen Selection</v>
      </c>
      <c r="B48" t="str">
        <f ca="1">IF(ISBLANK(A48), "", VLOOKUP(A48,'Annotated Papers'!47:1086,2,FALSE))</f>
        <v>ML4H</v>
      </c>
      <c r="C48" s="24">
        <f ca="1">IF(ISBLANK(A48), "", VLOOKUP(A48,'Annotated Papers'!47:1086,5,FALSE))</f>
        <v>0</v>
      </c>
      <c r="D48">
        <f ca="1">IF(ISBLANK(A48), "", IF(COUNTIF('Annotated Papers'!A:A,A48)&gt;1,1,0))</f>
        <v>0</v>
      </c>
      <c r="E48">
        <f ca="1">IF(ISBLANK(A48), "", IF(SUMIFS('Annotated Papers'!G:G, 'Annotated Papers'!A:A,A48)&gt;0,1,0))</f>
        <v>0</v>
      </c>
      <c r="F48">
        <f ca="1">IF(ISBLANK(A48), "", IF(SUMIFS('Annotated Papers'!H:H, 'Annotated Papers'!A:A,A48)&gt;0,1,0))</f>
        <v>0</v>
      </c>
      <c r="G48" t="e">
        <f ca="1">IF(ISBLANK(A48), "", IF(SUMIFS('Annotated Papers'!I:I, 'Annotated Papers'!A:A,A48)&gt;0,1,0))</f>
        <v>#NAME?</v>
      </c>
      <c r="H48">
        <f ca="1">IF(ISBLANK(A48), "", IF(SUMIFS('Annotated Papers'!L:L, 'Annotated Papers'!A:A,A48)&gt;0,1,0))</f>
        <v>1</v>
      </c>
    </row>
    <row r="49" spans="1:8" ht="15.75" customHeight="1">
      <c r="A49" s="25" t="str">
        <f ca="1">IFERROR(__xludf.DUMMYFUNCTION("""COMPUTED_VALUE"""),"Multi-Label Learning from Medical Plain Text with Convolutional Residual Models")</f>
        <v>Multi-Label Learning from Medical Plain Text with Convolutional Residual Models</v>
      </c>
      <c r="B49" t="str">
        <f ca="1">IF(ISBLANK(A49), "", VLOOKUP(A49,'Annotated Papers'!48:1087,2,FALSE))</f>
        <v>ML4H</v>
      </c>
      <c r="C49" s="24">
        <f ca="1">IF(ISBLANK(A49), "", VLOOKUP(A49,'Annotated Papers'!48:1087,5,FALSE))</f>
        <v>0</v>
      </c>
      <c r="D49">
        <f ca="1">IF(ISBLANK(A49), "", IF(COUNTIF('Annotated Papers'!A:A,A49)&gt;1,1,0))</f>
        <v>0</v>
      </c>
      <c r="E49">
        <f ca="1">IF(ISBLANK(A49), "", IF(SUMIFS('Annotated Papers'!G:G, 'Annotated Papers'!A:A,A49)&gt;0,1,0))</f>
        <v>1</v>
      </c>
      <c r="F49">
        <f ca="1">IF(ISBLANK(A49), "", IF(SUMIFS('Annotated Papers'!H:H, 'Annotated Papers'!A:A,A49)&gt;0,1,0))</f>
        <v>0</v>
      </c>
      <c r="G49" t="e">
        <f ca="1">IF(ISBLANK(A49), "", IF(SUMIFS('Annotated Papers'!I:I, 'Annotated Papers'!A:A,A49)&gt;0,1,0))</f>
        <v>#NAME?</v>
      </c>
      <c r="H49">
        <f ca="1">IF(ISBLANK(A49), "", IF(SUMIFS('Annotated Papers'!L:L, 'Annotated Papers'!A:A,A49)&gt;0,1,0))</f>
        <v>1</v>
      </c>
    </row>
    <row r="50" spans="1:8" ht="15.75" customHeight="1">
      <c r="A50" s="26" t="str">
        <f ca="1">IFERROR(__xludf.DUMMYFUNCTION("""COMPUTED_VALUE"""),"Chronic Disease Prediction Using Medical Notes")</f>
        <v>Chronic Disease Prediction Using Medical Notes</v>
      </c>
      <c r="B50" t="str">
        <f ca="1">IF(ISBLANK(A50), "", VLOOKUP(A50,'Annotated Papers'!49:1088,2,FALSE))</f>
        <v>ML4H</v>
      </c>
      <c r="C50" s="24">
        <f ca="1">IF(ISBLANK(A50), "", VLOOKUP(A50,'Annotated Papers'!49:1088,5,FALSE))</f>
        <v>1</v>
      </c>
      <c r="D50">
        <f ca="1">IF(ISBLANK(A50), "", IF(COUNTIF('Annotated Papers'!A:A,A50)&gt;1,1,0))</f>
        <v>0</v>
      </c>
      <c r="E50">
        <f ca="1">IF(ISBLANK(A50), "", IF(SUMIFS('Annotated Papers'!G:G, 'Annotated Papers'!A:A,A50)&gt;0,1,0))</f>
        <v>1</v>
      </c>
      <c r="F50">
        <f ca="1">IF(ISBLANK(A50), "", IF(SUMIFS('Annotated Papers'!H:H, 'Annotated Papers'!A:A,A50)&gt;0,1,0))</f>
        <v>0</v>
      </c>
      <c r="G50" t="e">
        <f ca="1">IF(ISBLANK(A50), "", IF(SUMIFS('Annotated Papers'!I:I, 'Annotated Papers'!A:A,A50)&gt;0,1,0))</f>
        <v>#NAME?</v>
      </c>
      <c r="H50">
        <f ca="1">IF(ISBLANK(A50), "", IF(SUMIFS('Annotated Papers'!L:L, 'Annotated Papers'!A:A,A50)&gt;0,1,0))</f>
        <v>0</v>
      </c>
    </row>
    <row r="51" spans="1:8" ht="15.75" customHeight="1">
      <c r="A51" s="26" t="str">
        <f ca="1">IFERROR(__xludf.DUMMYFUNCTION("""COMPUTED_VALUE"""),"Piecewise-constant parametric approximations for survival learning:")</f>
        <v>Piecewise-constant parametric approximations for survival learning:</v>
      </c>
      <c r="B51" t="str">
        <f ca="1">IF(ISBLANK(A51), "", VLOOKUP(A51,'Annotated Papers'!50:1089,2,FALSE))</f>
        <v>ML4H</v>
      </c>
      <c r="C51" s="24">
        <f ca="1">IF(ISBLANK(A51), "", VLOOKUP(A51,'Annotated Papers'!50:1089,5,FALSE))</f>
        <v>0</v>
      </c>
      <c r="D51">
        <f ca="1">IF(ISBLANK(A51), "", IF(COUNTIF('Annotated Papers'!A:A,A51)&gt;1,1,0))</f>
        <v>0</v>
      </c>
      <c r="E51">
        <f ca="1">IF(ISBLANK(A51), "", IF(SUMIFS('Annotated Papers'!G:G, 'Annotated Papers'!A:A,A51)&gt;0,1,0))</f>
        <v>1</v>
      </c>
      <c r="F51">
        <f ca="1">IF(ISBLANK(A51), "", IF(SUMIFS('Annotated Papers'!H:H, 'Annotated Papers'!A:A,A51)&gt;0,1,0))</f>
        <v>1</v>
      </c>
      <c r="G51" t="e">
        <f ca="1">IF(ISBLANK(A51), "", IF(SUMIFS('Annotated Papers'!I:I, 'Annotated Papers'!A:A,A51)&gt;0,1,0))</f>
        <v>#NAME?</v>
      </c>
      <c r="H51">
        <f ca="1">IF(ISBLANK(A51), "", IF(SUMIFS('Annotated Papers'!L:L, 'Annotated Papers'!A:A,A51)&gt;0,1,0))</f>
        <v>1</v>
      </c>
    </row>
    <row r="52" spans="1:8" ht="14">
      <c r="A52" s="26" t="str">
        <f ca="1">IFERROR(__xludf.DUMMYFUNCTION("""COMPUTED_VALUE"""),"Spatially-Continuous Plantar Pressure Reconstruction Using Compressive Sensing")</f>
        <v>Spatially-Continuous Plantar Pressure Reconstruction Using Compressive Sensing</v>
      </c>
      <c r="B52" t="str">
        <f ca="1">IF(ISBLANK(A52), "", VLOOKUP(A52,'Annotated Papers'!51:1090,2,FALSE))</f>
        <v>ML4H</v>
      </c>
      <c r="C52" s="24">
        <f ca="1">IF(ISBLANK(A52), "", VLOOKUP(A52,'Annotated Papers'!51:1090,5,FALSE))</f>
        <v>0</v>
      </c>
      <c r="D52">
        <f ca="1">IF(ISBLANK(A52), "", IF(COUNTIF('Annotated Papers'!A:A,A52)&gt;1,1,0))</f>
        <v>0</v>
      </c>
      <c r="E52">
        <f ca="1">IF(ISBLANK(A52), "", IF(SUMIFS('Annotated Papers'!G:G, 'Annotated Papers'!A:A,A52)&gt;0,1,0))</f>
        <v>1</v>
      </c>
      <c r="F52">
        <f ca="1">IF(ISBLANK(A52), "", IF(SUMIFS('Annotated Papers'!H:H, 'Annotated Papers'!A:A,A52)&gt;0,1,0))</f>
        <v>0</v>
      </c>
      <c r="G52" t="e">
        <f ca="1">IF(ISBLANK(A52), "", IF(SUMIFS('Annotated Papers'!I:I, 'Annotated Papers'!A:A,A52)&gt;0,1,0))</f>
        <v>#NAME?</v>
      </c>
      <c r="H52">
        <f ca="1">IF(ISBLANK(A52), "", IF(SUMIFS('Annotated Papers'!L:L, 'Annotated Papers'!A:A,A52)&gt;0,1,0))</f>
        <v>0</v>
      </c>
    </row>
    <row r="53" spans="1:8" ht="14">
      <c r="A53" s="26" t="str">
        <f ca="1">IFERROR(__xludf.DUMMYFUNCTION("""COMPUTED_VALUE"""),"Classifying Lung Cancer Severity with Ensemble Machine Learning in Health Care Claims Data:")</f>
        <v>Classifying Lung Cancer Severity with Ensemble Machine Learning in Health Care Claims Data:</v>
      </c>
      <c r="B53" t="str">
        <f ca="1">IF(ISBLANK(A53), "", VLOOKUP(A53,'Annotated Papers'!52:1091,2,FALSE))</f>
        <v>ML4H</v>
      </c>
      <c r="C53" s="24">
        <f ca="1">IF(ISBLANK(A53), "", VLOOKUP(A53,'Annotated Papers'!52:1091,5,FALSE))</f>
        <v>0</v>
      </c>
      <c r="D53">
        <f ca="1">IF(ISBLANK(A53), "", IF(COUNTIF('Annotated Papers'!A:A,A53)&gt;1,1,0))</f>
        <v>0</v>
      </c>
      <c r="E53">
        <f ca="1">IF(ISBLANK(A53), "", IF(SUMIFS('Annotated Papers'!G:G, 'Annotated Papers'!A:A,A53)&gt;0,1,0))</f>
        <v>1</v>
      </c>
      <c r="F53">
        <f ca="1">IF(ISBLANK(A53), "", IF(SUMIFS('Annotated Papers'!H:H, 'Annotated Papers'!A:A,A53)&gt;0,1,0))</f>
        <v>1</v>
      </c>
      <c r="G53" t="e">
        <f ca="1">IF(ISBLANK(A53), "", IF(SUMIFS('Annotated Papers'!I:I, 'Annotated Papers'!A:A,A53)&gt;0,1,0))</f>
        <v>#NAME?</v>
      </c>
      <c r="H53">
        <f ca="1">IF(ISBLANK(A53), "", IF(SUMIFS('Annotated Papers'!L:L, 'Annotated Papers'!A:A,A53)&gt;0,1,0))</f>
        <v>0</v>
      </c>
    </row>
    <row r="54" spans="1:8" ht="14">
      <c r="A54" s="26" t="str">
        <f ca="1">IFERROR(__xludf.DUMMYFUNCTION("""COMPUTED_VALUE"""),"Predicting long-term mortality with first week post-operative data after Coronary Artery Bypass Grafting using Machine Learning model")</f>
        <v>Predicting long-term mortality with first week post-operative data after Coronary Artery Bypass Grafting using Machine Learning model</v>
      </c>
      <c r="B54" t="str">
        <f ca="1">IF(ISBLANK(A54), "", VLOOKUP(A54,'Annotated Papers'!53:1092,2,FALSE))</f>
        <v>ML4H</v>
      </c>
      <c r="C54" s="24">
        <f ca="1">IF(ISBLANK(A54), "", VLOOKUP(A54,'Annotated Papers'!53:1092,5,FALSE))</f>
        <v>0</v>
      </c>
      <c r="D54">
        <f ca="1">IF(ISBLANK(A54), "", IF(COUNTIF('Annotated Papers'!A:A,A54)&gt;1,1,0))</f>
        <v>0</v>
      </c>
      <c r="E54">
        <f ca="1">IF(ISBLANK(A54), "", IF(SUMIFS('Annotated Papers'!G:G, 'Annotated Papers'!A:A,A54)&gt;0,1,0))</f>
        <v>1</v>
      </c>
      <c r="F54">
        <f ca="1">IF(ISBLANK(A54), "", IF(SUMIFS('Annotated Papers'!H:H, 'Annotated Papers'!A:A,A54)&gt;0,1,0))</f>
        <v>0</v>
      </c>
      <c r="G54" t="e">
        <f ca="1">IF(ISBLANK(A54), "", IF(SUMIFS('Annotated Papers'!I:I, 'Annotated Papers'!A:A,A54)&gt;0,1,0))</f>
        <v>#NAME?</v>
      </c>
      <c r="H54">
        <f ca="1">IF(ISBLANK(A54), "", IF(SUMIFS('Annotated Papers'!L:L, 'Annotated Papers'!A:A,A54)&gt;0,1,0))</f>
        <v>1</v>
      </c>
    </row>
    <row r="55" spans="1:8" ht="14">
      <c r="A55" s="26" t="str">
        <f ca="1">IFERROR(__xludf.DUMMYFUNCTION("""COMPUTED_VALUE"""),"ShortFuse: Biomedical Time Series Representations in the Presence of Structured Information:")</f>
        <v>ShortFuse: Biomedical Time Series Representations in the Presence of Structured Information:</v>
      </c>
      <c r="B55" t="str">
        <f ca="1">IF(ISBLANK(A55), "", VLOOKUP(A55,'Annotated Papers'!54:1093,2,FALSE))</f>
        <v>ML4H</v>
      </c>
      <c r="C55" s="24">
        <f ca="1">IF(ISBLANK(A55), "", VLOOKUP(A55,'Annotated Papers'!54:1093,5,FALSE))</f>
        <v>0</v>
      </c>
      <c r="D55">
        <f ca="1">IF(ISBLANK(A55), "", IF(COUNTIF('Annotated Papers'!A:A,A55)&gt;1,1,0))</f>
        <v>0</v>
      </c>
      <c r="E55">
        <f ca="1">IF(ISBLANK(A55), "", IF(SUMIFS('Annotated Papers'!G:G, 'Annotated Papers'!A:A,A55)&gt;0,1,0))</f>
        <v>1</v>
      </c>
      <c r="F55">
        <f ca="1">IF(ISBLANK(A55), "", IF(SUMIFS('Annotated Papers'!H:H, 'Annotated Papers'!A:A,A55)&gt;0,1,0))</f>
        <v>0</v>
      </c>
      <c r="G55" t="e">
        <f ca="1">IF(ISBLANK(A55), "", IF(SUMIFS('Annotated Papers'!I:I, 'Annotated Papers'!A:A,A55)&gt;0,1,0))</f>
        <v>#NAME?</v>
      </c>
      <c r="H55">
        <f ca="1">IF(ISBLANK(A55), "", IF(SUMIFS('Annotated Papers'!L:L, 'Annotated Papers'!A:A,A55)&gt;0,1,0))</f>
        <v>0</v>
      </c>
    </row>
    <row r="56" spans="1:8" ht="14">
      <c r="A56" s="26" t="str">
        <f ca="1">IFERROR(__xludf.DUMMYFUNCTION("""COMPUTED_VALUE"""),"Towards Vision-based Smart Hospitals: A System for Tracking and Monitoring Hand Hygiene Compliance")</f>
        <v>Towards Vision-based Smart Hospitals: A System for Tracking and Monitoring Hand Hygiene Compliance</v>
      </c>
      <c r="B56" t="str">
        <f ca="1">IF(ISBLANK(A56), "", VLOOKUP(A56,'Annotated Papers'!55:1094,2,FALSE))</f>
        <v>ML4H</v>
      </c>
      <c r="C56" s="24">
        <f ca="1">IF(ISBLANK(A56), "", VLOOKUP(A56,'Annotated Papers'!55:1094,5,FALSE))</f>
        <v>0</v>
      </c>
      <c r="D56">
        <f ca="1">IF(ISBLANK(A56), "", IF(COUNTIF('Annotated Papers'!A:A,A56)&gt;1,1,0))</f>
        <v>0</v>
      </c>
      <c r="E56">
        <f ca="1">IF(ISBLANK(A56), "", IF(SUMIFS('Annotated Papers'!G:G, 'Annotated Papers'!A:A,A56)&gt;0,1,0))</f>
        <v>1</v>
      </c>
      <c r="F56">
        <f ca="1">IF(ISBLANK(A56), "", IF(SUMIFS('Annotated Papers'!H:H, 'Annotated Papers'!A:A,A56)&gt;0,1,0))</f>
        <v>0</v>
      </c>
      <c r="G56" t="e">
        <f ca="1">IF(ISBLANK(A56), "", IF(SUMIFS('Annotated Papers'!I:I, 'Annotated Papers'!A:A,A56)&gt;0,1,0))</f>
        <v>#NAME?</v>
      </c>
      <c r="H56">
        <f ca="1">IF(ISBLANK(A56), "", IF(SUMIFS('Annotated Papers'!L:L, 'Annotated Papers'!A:A,A56)&gt;0,1,0))</f>
        <v>0</v>
      </c>
    </row>
    <row r="57" spans="1:8" ht="14">
      <c r="A57" s="26" t="str">
        <f ca="1">IFERROR(__xludf.DUMMYFUNCTION("""COMPUTED_VALUE"""),"Surgeon Technical Skill Assessment using Computer Vision based Analysis")</f>
        <v>Surgeon Technical Skill Assessment using Computer Vision based Analysis</v>
      </c>
      <c r="B57" t="str">
        <f ca="1">IF(ISBLANK(A57), "", VLOOKUP(A57,'Annotated Papers'!56:1095,2,FALSE))</f>
        <v>ML4H</v>
      </c>
      <c r="C57" s="24">
        <f ca="1">IF(ISBLANK(A57), "", VLOOKUP(A57,'Annotated Papers'!56:1095,5,FALSE))</f>
        <v>0</v>
      </c>
      <c r="D57">
        <f ca="1">IF(ISBLANK(A57), "", IF(COUNTIF('Annotated Papers'!A:A,A57)&gt;1,1,0))</f>
        <v>0</v>
      </c>
      <c r="E57">
        <f ca="1">IF(ISBLANK(A57), "", IF(SUMIFS('Annotated Papers'!G:G, 'Annotated Papers'!A:A,A57)&gt;0,1,0))</f>
        <v>1</v>
      </c>
      <c r="F57">
        <f ca="1">IF(ISBLANK(A57), "", IF(SUMIFS('Annotated Papers'!H:H, 'Annotated Papers'!A:A,A57)&gt;0,1,0))</f>
        <v>0</v>
      </c>
      <c r="G57" t="e">
        <f ca="1">IF(ISBLANK(A57), "", IF(SUMIFS('Annotated Papers'!I:I, 'Annotated Papers'!A:A,A57)&gt;0,1,0))</f>
        <v>#NAME?</v>
      </c>
      <c r="H57">
        <f ca="1">IF(ISBLANK(A57), "", IF(SUMIFS('Annotated Papers'!L:L, 'Annotated Papers'!A:A,A57)&gt;0,1,0))</f>
        <v>0</v>
      </c>
    </row>
    <row r="58" spans="1:8" ht="14">
      <c r="A58" s="26" t="str">
        <f ca="1">IFERROR(__xludf.DUMMYFUNCTION("""COMPUTED_VALUE"""),"Predicting Surgery Duration with Neural Heteroscedastic Regression:")</f>
        <v>Predicting Surgery Duration with Neural Heteroscedastic Regression:</v>
      </c>
      <c r="B58" t="str">
        <f ca="1">IF(ISBLANK(A58), "", VLOOKUP(A58,'Annotated Papers'!57:1096,2,FALSE))</f>
        <v>ML4H</v>
      </c>
      <c r="C58" s="24">
        <f ca="1">IF(ISBLANK(A58), "", VLOOKUP(A58,'Annotated Papers'!57:1096,5,FALSE))</f>
        <v>0</v>
      </c>
      <c r="D58">
        <f ca="1">IF(ISBLANK(A58), "", IF(COUNTIF('Annotated Papers'!A:A,A58)&gt;1,1,0))</f>
        <v>0</v>
      </c>
      <c r="E58">
        <f ca="1">IF(ISBLANK(A58), "", IF(SUMIFS('Annotated Papers'!G:G, 'Annotated Papers'!A:A,A58)&gt;0,1,0))</f>
        <v>1</v>
      </c>
      <c r="F58">
        <f ca="1">IF(ISBLANK(A58), "", IF(SUMIFS('Annotated Papers'!H:H, 'Annotated Papers'!A:A,A58)&gt;0,1,0))</f>
        <v>0</v>
      </c>
      <c r="G58" t="e">
        <f ca="1">IF(ISBLANK(A58), "", IF(SUMIFS('Annotated Papers'!I:I, 'Annotated Papers'!A:A,A58)&gt;0,1,0))</f>
        <v>#NAME?</v>
      </c>
      <c r="H58">
        <f ca="1">IF(ISBLANK(A58), "", IF(SUMIFS('Annotated Papers'!L:L, 'Annotated Papers'!A:A,A58)&gt;0,1,0))</f>
        <v>0</v>
      </c>
    </row>
    <row r="59" spans="1:8" ht="14">
      <c r="A59" s="26" t="str">
        <f ca="1">IFERROR(__xludf.DUMMYFUNCTION("""COMPUTED_VALUE"""),"Temporal prediction of multiple sclerosis evolution from patient-centered outcomes")</f>
        <v>Temporal prediction of multiple sclerosis evolution from patient-centered outcomes</v>
      </c>
      <c r="B59" t="str">
        <f ca="1">IF(ISBLANK(A59), "", VLOOKUP(A59,'Annotated Papers'!58:1097,2,FALSE))</f>
        <v>ML4H</v>
      </c>
      <c r="C59" s="24">
        <f ca="1">IF(ISBLANK(A59), "", VLOOKUP(A59,'Annotated Papers'!58:1097,5,FALSE))</f>
        <v>0</v>
      </c>
      <c r="D59">
        <f ca="1">IF(ISBLANK(A59), "", IF(COUNTIF('Annotated Papers'!A:A,A59)&gt;1,1,0))</f>
        <v>0</v>
      </c>
      <c r="E59">
        <f ca="1">IF(ISBLANK(A59), "", IF(SUMIFS('Annotated Papers'!G:G, 'Annotated Papers'!A:A,A59)&gt;0,1,0))</f>
        <v>1</v>
      </c>
      <c r="F59">
        <f ca="1">IF(ISBLANK(A59), "", IF(SUMIFS('Annotated Papers'!H:H, 'Annotated Papers'!A:A,A59)&gt;0,1,0))</f>
        <v>0</v>
      </c>
      <c r="G59" t="e">
        <f ca="1">IF(ISBLANK(A59), "", IF(SUMIFS('Annotated Papers'!I:I, 'Annotated Papers'!A:A,A59)&gt;0,1,0))</f>
        <v>#NAME?</v>
      </c>
      <c r="H59">
        <f ca="1">IF(ISBLANK(A59), "", IF(SUMIFS('Annotated Papers'!L:L, 'Annotated Papers'!A:A,A59)&gt;0,1,0))</f>
        <v>1</v>
      </c>
    </row>
    <row r="60" spans="1:8" ht="14">
      <c r="A60" s="26" t="str">
        <f ca="1">IFERROR(__xludf.DUMMYFUNCTION("""COMPUTED_VALUE"""),"Clustering Patients with Tensor Decomposition")</f>
        <v>Clustering Patients with Tensor Decomposition</v>
      </c>
      <c r="B60" t="str">
        <f ca="1">IF(ISBLANK(A60), "", VLOOKUP(A60,'Annotated Papers'!59:1098,2,FALSE))</f>
        <v>ML4H</v>
      </c>
      <c r="C60" s="24">
        <f ca="1">IF(ISBLANK(A60), "", VLOOKUP(A60,'Annotated Papers'!59:1098,5,FALSE))</f>
        <v>0</v>
      </c>
      <c r="D60">
        <f ca="1">IF(ISBLANK(A60), "", IF(COUNTIF('Annotated Papers'!A:A,A60)&gt;1,1,0))</f>
        <v>0</v>
      </c>
      <c r="E60">
        <f ca="1">IF(ISBLANK(A60), "", IF(SUMIFS('Annotated Papers'!G:G, 'Annotated Papers'!A:A,A60)&gt;0,1,0))</f>
        <v>1</v>
      </c>
      <c r="F60">
        <f ca="1">IF(ISBLANK(A60), "", IF(SUMIFS('Annotated Papers'!H:H, 'Annotated Papers'!A:A,A60)&gt;0,1,0))</f>
        <v>0</v>
      </c>
      <c r="G60" t="e">
        <f ca="1">IF(ISBLANK(A60), "", IF(SUMIFS('Annotated Papers'!I:I, 'Annotated Papers'!A:A,A60)&gt;0,1,0))</f>
        <v>#NAME?</v>
      </c>
      <c r="H60">
        <f ca="1">IF(ISBLANK(A60), "", IF(SUMIFS('Annotated Papers'!L:L, 'Annotated Papers'!A:A,A60)&gt;0,1,0))</f>
        <v>0</v>
      </c>
    </row>
    <row r="61" spans="1:8" ht="14">
      <c r="A61" s="26" t="str">
        <f ca="1">IFERROR(__xludf.DUMMYFUNCTION("""COMPUTED_VALUE"""),"Continuous State-Space Models for Optimal Sepsis Treatment - a Deep Reinforcement Learning Approach:")</f>
        <v>Continuous State-Space Models for Optimal Sepsis Treatment - a Deep Reinforcement Learning Approach:</v>
      </c>
      <c r="B61" t="str">
        <f ca="1">IF(ISBLANK(A61), "", VLOOKUP(A61,'Annotated Papers'!60:1099,2,FALSE))</f>
        <v>ML4H</v>
      </c>
      <c r="C61" s="24">
        <f ca="1">IF(ISBLANK(A61), "", VLOOKUP(A61,'Annotated Papers'!60:1099,5,FALSE))</f>
        <v>0</v>
      </c>
      <c r="D61">
        <f ca="1">IF(ISBLANK(A61), "", IF(COUNTIF('Annotated Papers'!A:A,A61)&gt;1,1,0))</f>
        <v>0</v>
      </c>
      <c r="E61">
        <f ca="1">IF(ISBLANK(A61), "", IF(SUMIFS('Annotated Papers'!G:G, 'Annotated Papers'!A:A,A61)&gt;0,1,0))</f>
        <v>1</v>
      </c>
      <c r="F61">
        <f ca="1">IF(ISBLANK(A61), "", IF(SUMIFS('Annotated Papers'!H:H, 'Annotated Papers'!A:A,A61)&gt;0,1,0))</f>
        <v>1</v>
      </c>
      <c r="G61" t="e">
        <f ca="1">IF(ISBLANK(A61), "", IF(SUMIFS('Annotated Papers'!I:I, 'Annotated Papers'!A:A,A61)&gt;0,1,0))</f>
        <v>#NAME?</v>
      </c>
      <c r="H61">
        <f ca="1">IF(ISBLANK(A61), "", IF(SUMIFS('Annotated Papers'!L:L, 'Annotated Papers'!A:A,A61)&gt;0,1,0))</f>
        <v>1</v>
      </c>
    </row>
    <row r="62" spans="1:8" ht="14">
      <c r="A62" s="26" t="str">
        <f ca="1">IFERROR(__xludf.DUMMYFUNCTION("""COMPUTED_VALUE"""),"Modeling Progression Free Survival in Breast Cancer with Tensorized Recurrent Neural Networks and Accelerated Failure Time Model")</f>
        <v>Modeling Progression Free Survival in Breast Cancer with Tensorized Recurrent Neural Networks and Accelerated Failure Time Model</v>
      </c>
      <c r="B62" t="str">
        <f ca="1">IF(ISBLANK(A62), "", VLOOKUP(A62,'Annotated Papers'!61:1100,2,FALSE))</f>
        <v>ML4H</v>
      </c>
      <c r="C62" s="24">
        <f ca="1">IF(ISBLANK(A62), "", VLOOKUP(A62,'Annotated Papers'!61:1100,5,FALSE))</f>
        <v>0</v>
      </c>
      <c r="D62">
        <f ca="1">IF(ISBLANK(A62), "", IF(COUNTIF('Annotated Papers'!A:A,A62)&gt;1,1,0))</f>
        <v>0</v>
      </c>
      <c r="E62">
        <f ca="1">IF(ISBLANK(A62), "", IF(SUMIFS('Annotated Papers'!G:G, 'Annotated Papers'!A:A,A62)&gt;0,1,0))</f>
        <v>1</v>
      </c>
      <c r="F62">
        <f ca="1">IF(ISBLANK(A62), "", IF(SUMIFS('Annotated Papers'!H:H, 'Annotated Papers'!A:A,A62)&gt;0,1,0))</f>
        <v>1</v>
      </c>
      <c r="G62" t="e">
        <f ca="1">IF(ISBLANK(A62), "", IF(SUMIFS('Annotated Papers'!I:I, 'Annotated Papers'!A:A,A62)&gt;0,1,0))</f>
        <v>#NAME?</v>
      </c>
      <c r="H62">
        <f ca="1">IF(ISBLANK(A62), "", IF(SUMIFS('Annotated Papers'!L:L, 'Annotated Papers'!A:A,A62)&gt;0,1,0))</f>
        <v>1</v>
      </c>
    </row>
    <row r="63" spans="1:8" ht="14">
      <c r="A63" s="26" t="str">
        <f ca="1">IFERROR(__xludf.DUMMYFUNCTION("""COMPUTED_VALUE"""),"Patient Similarity Using Population Statistics and Multiple Kernel Learning")</f>
        <v>Patient Similarity Using Population Statistics and Multiple Kernel Learning</v>
      </c>
      <c r="B63" t="str">
        <f ca="1">IF(ISBLANK(A63), "", VLOOKUP(A63,'Annotated Papers'!62:1101,2,FALSE))</f>
        <v>ML4H</v>
      </c>
      <c r="C63" s="24">
        <f ca="1">IF(ISBLANK(A63), "", VLOOKUP(A63,'Annotated Papers'!62:1101,5,FALSE))</f>
        <v>0</v>
      </c>
      <c r="D63">
        <f ca="1">IF(ISBLANK(A63), "", IF(COUNTIF('Annotated Papers'!A:A,A63)&gt;1,1,0))</f>
        <v>0</v>
      </c>
      <c r="E63">
        <f ca="1">IF(ISBLANK(A63), "", IF(SUMIFS('Annotated Papers'!G:G, 'Annotated Papers'!A:A,A63)&gt;0,1,0))</f>
        <v>1</v>
      </c>
      <c r="F63">
        <f ca="1">IF(ISBLANK(A63), "", IF(SUMIFS('Annotated Papers'!H:H, 'Annotated Papers'!A:A,A63)&gt;0,1,0))</f>
        <v>1</v>
      </c>
      <c r="G63" t="e">
        <f ca="1">IF(ISBLANK(A63), "", IF(SUMIFS('Annotated Papers'!I:I, 'Annotated Papers'!A:A,A63)&gt;0,1,0))</f>
        <v>#NAME?</v>
      </c>
      <c r="H63">
        <f ca="1">IF(ISBLANK(A63), "", IF(SUMIFS('Annotated Papers'!L:L, 'Annotated Papers'!A:A,A63)&gt;0,1,0))</f>
        <v>1</v>
      </c>
    </row>
    <row r="64" spans="1:8" ht="14">
      <c r="A64" s="26" t="str">
        <f ca="1">IFERROR(__xludf.DUMMYFUNCTION("""COMPUTED_VALUE"""),"A Video-Based Method for Automatically Rating Ataxia")</f>
        <v>A Video-Based Method for Automatically Rating Ataxia</v>
      </c>
      <c r="B64" t="str">
        <f ca="1">IF(ISBLANK(A64), "", VLOOKUP(A64,'Annotated Papers'!63:1102,2,FALSE))</f>
        <v>ML4H</v>
      </c>
      <c r="C64" s="24">
        <f ca="1">IF(ISBLANK(A64), "", VLOOKUP(A64,'Annotated Papers'!63:1102,5,FALSE))</f>
        <v>0</v>
      </c>
      <c r="D64">
        <f ca="1">IF(ISBLANK(A64), "", IF(COUNTIF('Annotated Papers'!A:A,A64)&gt;1,1,0))</f>
        <v>0</v>
      </c>
      <c r="E64">
        <f ca="1">IF(ISBLANK(A64), "", IF(SUMIFS('Annotated Papers'!G:G, 'Annotated Papers'!A:A,A64)&gt;0,1,0))</f>
        <v>1</v>
      </c>
      <c r="F64">
        <f ca="1">IF(ISBLANK(A64), "", IF(SUMIFS('Annotated Papers'!H:H, 'Annotated Papers'!A:A,A64)&gt;0,1,0))</f>
        <v>0</v>
      </c>
      <c r="G64" t="e">
        <f ca="1">IF(ISBLANK(A64), "", IF(SUMIFS('Annotated Papers'!I:I, 'Annotated Papers'!A:A,A64)&gt;0,1,0))</f>
        <v>#NAME?</v>
      </c>
      <c r="H64">
        <f ca="1">IF(ISBLANK(A64), "", IF(SUMIFS('Annotated Papers'!L:L, 'Annotated Papers'!A:A,A64)&gt;0,1,0))</f>
        <v>1</v>
      </c>
    </row>
    <row r="65" spans="1:8" ht="14">
      <c r="A65" s="26" t="str">
        <f ca="1">IFERROR(__xludf.DUMMYFUNCTION("""COMPUTED_VALUE"""),"Visualizing Clinical Significance with Prediction and Tolerance Regions:")</f>
        <v>Visualizing Clinical Significance with Prediction and Tolerance Regions:</v>
      </c>
      <c r="B65" t="str">
        <f ca="1">IF(ISBLANK(A65), "", VLOOKUP(A65,'Annotated Papers'!64:1103,2,FALSE))</f>
        <v>ML4H</v>
      </c>
      <c r="C65" s="24">
        <f ca="1">IF(ISBLANK(A65), "", VLOOKUP(A65,'Annotated Papers'!64:1103,5,FALSE))</f>
        <v>0</v>
      </c>
      <c r="D65">
        <f ca="1">IF(ISBLANK(A65), "", IF(COUNTIF('Annotated Papers'!A:A,A65)&gt;1,1,0))</f>
        <v>0</v>
      </c>
      <c r="E65">
        <f ca="1">IF(ISBLANK(A65), "", IF(SUMIFS('Annotated Papers'!G:G, 'Annotated Papers'!A:A,A65)&gt;0,1,0))</f>
        <v>1</v>
      </c>
      <c r="F65">
        <f ca="1">IF(ISBLANK(A65), "", IF(SUMIFS('Annotated Papers'!H:H, 'Annotated Papers'!A:A,A65)&gt;0,1,0))</f>
        <v>0</v>
      </c>
      <c r="G65" t="e">
        <f ca="1">IF(ISBLANK(A65), "", IF(SUMIFS('Annotated Papers'!I:I, 'Annotated Papers'!A:A,A65)&gt;0,1,0))</f>
        <v>#NAME?</v>
      </c>
      <c r="H65">
        <f ca="1">IF(ISBLANK(A65), "", IF(SUMIFS('Annotated Papers'!L:L, 'Annotated Papers'!A:A,A65)&gt;0,1,0))</f>
        <v>0</v>
      </c>
    </row>
    <row r="66" spans="1:8" ht="14">
      <c r="A66" s="26" t="str">
        <f ca="1">IFERROR(__xludf.DUMMYFUNCTION("""COMPUTED_VALUE"""),"Predictive Hierarchical Clustering: Learning clusters of CPT codes for improving surgical outcomes")</f>
        <v>Predictive Hierarchical Clustering: Learning clusters of CPT codes for improving surgical outcomes</v>
      </c>
      <c r="B66" t="str">
        <f ca="1">IF(ISBLANK(A66), "", VLOOKUP(A66,'Annotated Papers'!65:1104,2,FALSE))</f>
        <v>ML4H</v>
      </c>
      <c r="C66" s="24">
        <f ca="1">IF(ISBLANK(A66), "", VLOOKUP(A66,'Annotated Papers'!65:1104,5,FALSE))</f>
        <v>0</v>
      </c>
      <c r="D66">
        <f ca="1">IF(ISBLANK(A66), "", IF(COUNTIF('Annotated Papers'!A:A,A66)&gt;1,1,0))</f>
        <v>1</v>
      </c>
      <c r="E66">
        <f ca="1">IF(ISBLANK(A66), "", IF(SUMIFS('Annotated Papers'!G:G, 'Annotated Papers'!A:A,A66)&gt;0,1,0))</f>
        <v>1</v>
      </c>
      <c r="F66">
        <f ca="1">IF(ISBLANK(A66), "", IF(SUMIFS('Annotated Papers'!H:H, 'Annotated Papers'!A:A,A66)&gt;0,1,0))</f>
        <v>0</v>
      </c>
      <c r="G66" t="e">
        <f ca="1">IF(ISBLANK(A66), "", IF(SUMIFS('Annotated Papers'!I:I, 'Annotated Papers'!A:A,A66)&gt;0,1,0))</f>
        <v>#NAME?</v>
      </c>
      <c r="H66">
        <f ca="1">IF(ISBLANK(A66), "", IF(SUMIFS('Annotated Papers'!L:L, 'Annotated Papers'!A:A,A66)&gt;0,1,0))</f>
        <v>0</v>
      </c>
    </row>
    <row r="67" spans="1:8" ht="14">
      <c r="A67" s="26" t="str">
        <f ca="1">IFERROR(__xludf.DUMMYFUNCTION("""COMPUTED_VALUE"""),"An Improved Multi-Output Gaussian Process RNN with Real-Time Validation for Early Sepsis Detection")</f>
        <v>An Improved Multi-Output Gaussian Process RNN with Real-Time Validation for Early Sepsis Detection</v>
      </c>
      <c r="B67" t="str">
        <f ca="1">IF(ISBLANK(A67), "", VLOOKUP(A67,'Annotated Papers'!66:1105,2,FALSE))</f>
        <v>ML4H</v>
      </c>
      <c r="C67" s="24">
        <f ca="1">IF(ISBLANK(A67), "", VLOOKUP(A67,'Annotated Papers'!66:1105,5,FALSE))</f>
        <v>1</v>
      </c>
      <c r="D67">
        <f ca="1">IF(ISBLANK(A67), "", IF(COUNTIF('Annotated Papers'!A:A,A67)&gt;1,1,0))</f>
        <v>0</v>
      </c>
      <c r="E67">
        <f ca="1">IF(ISBLANK(A67), "", IF(SUMIFS('Annotated Papers'!G:G, 'Annotated Papers'!A:A,A67)&gt;0,1,0))</f>
        <v>1</v>
      </c>
      <c r="F67">
        <f ca="1">IF(ISBLANK(A67), "", IF(SUMIFS('Annotated Papers'!H:H, 'Annotated Papers'!A:A,A67)&gt;0,1,0))</f>
        <v>0</v>
      </c>
      <c r="G67" t="e">
        <f ca="1">IF(ISBLANK(A67), "", IF(SUMIFS('Annotated Papers'!I:I, 'Annotated Papers'!A:A,A67)&gt;0,1,0))</f>
        <v>#NAME?</v>
      </c>
      <c r="H67">
        <f ca="1">IF(ISBLANK(A67), "", IF(SUMIFS('Annotated Papers'!L:L, 'Annotated Papers'!A:A,A67)&gt;0,1,0))</f>
        <v>0</v>
      </c>
    </row>
    <row r="68" spans="1:8" ht="14">
      <c r="A68" s="26" t="str">
        <f ca="1">IFERROR(__xludf.DUMMYFUNCTION("""COMPUTED_VALUE"""),"Marked Point Process for Severity of Illness Assessment")</f>
        <v>Marked Point Process for Severity of Illness Assessment</v>
      </c>
      <c r="B68" t="str">
        <f ca="1">IF(ISBLANK(A68), "", VLOOKUP(A68,'Annotated Papers'!67:1106,2,FALSE))</f>
        <v>ML4H</v>
      </c>
      <c r="C68" s="24">
        <f ca="1">IF(ISBLANK(A68), "", VLOOKUP(A68,'Annotated Papers'!67:1106,5,FALSE))</f>
        <v>0</v>
      </c>
      <c r="D68">
        <f ca="1">IF(ISBLANK(A68), "", IF(COUNTIF('Annotated Papers'!A:A,A68)&gt;1,1,0))</f>
        <v>1</v>
      </c>
      <c r="E68">
        <f ca="1">IF(ISBLANK(A68), "", IF(SUMIFS('Annotated Papers'!G:G, 'Annotated Papers'!A:A,A68)&gt;0,1,0))</f>
        <v>1</v>
      </c>
      <c r="F68">
        <f ca="1">IF(ISBLANK(A68), "", IF(SUMIFS('Annotated Papers'!H:H, 'Annotated Papers'!A:A,A68)&gt;0,1,0))</f>
        <v>1</v>
      </c>
      <c r="G68" t="e">
        <f ca="1">IF(ISBLANK(A68), "", IF(SUMIFS('Annotated Papers'!I:I, 'Annotated Papers'!A:A,A68)&gt;0,1,0))</f>
        <v>#NAME?</v>
      </c>
      <c r="H68">
        <f ca="1">IF(ISBLANK(A68), "", IF(SUMIFS('Annotated Papers'!L:L, 'Annotated Papers'!A:A,A68)&gt;0,1,0))</f>
        <v>0</v>
      </c>
    </row>
    <row r="69" spans="1:8" ht="14">
      <c r="A69" s="26" t="str">
        <f ca="1">IFERROR(__xludf.DUMMYFUNCTION("""COMPUTED_VALUE"""),"Diagnostic Inferencing via Improving Clinical Concept Extraction with Deep Reinforcement Learning: A Preliminary Study")</f>
        <v>Diagnostic Inferencing via Improving Clinical Concept Extraction with Deep Reinforcement Learning: A Preliminary Study</v>
      </c>
      <c r="B69" t="str">
        <f ca="1">IF(ISBLANK(A69), "", VLOOKUP(A69,'Annotated Papers'!68:1107,2,FALSE))</f>
        <v>ML4H</v>
      </c>
      <c r="C69" s="24">
        <f ca="1">IF(ISBLANK(A69), "", VLOOKUP(A69,'Annotated Papers'!68:1107,5,FALSE))</f>
        <v>0</v>
      </c>
      <c r="D69">
        <f ca="1">IF(ISBLANK(A69), "", IF(COUNTIF('Annotated Papers'!A:A,A69)&gt;1,1,0))</f>
        <v>0</v>
      </c>
      <c r="E69">
        <f ca="1">IF(ISBLANK(A69), "", IF(SUMIFS('Annotated Papers'!G:G, 'Annotated Papers'!A:A,A69)&gt;0,1,0))</f>
        <v>0</v>
      </c>
      <c r="F69">
        <f ca="1">IF(ISBLANK(A69), "", IF(SUMIFS('Annotated Papers'!H:H, 'Annotated Papers'!A:A,A69)&gt;0,1,0))</f>
        <v>1</v>
      </c>
      <c r="G69" t="e">
        <f ca="1">IF(ISBLANK(A69), "", IF(SUMIFS('Annotated Papers'!I:I, 'Annotated Papers'!A:A,A69)&gt;0,1,0))</f>
        <v>#NAME?</v>
      </c>
      <c r="H69">
        <f ca="1">IF(ISBLANK(A69), "", IF(SUMIFS('Annotated Papers'!L:L, 'Annotated Papers'!A:A,A69)&gt;0,1,0))</f>
        <v>0</v>
      </c>
    </row>
    <row r="70" spans="1:8" ht="14">
      <c r="A70" s="26" t="str">
        <f ca="1">IFERROR(__xludf.DUMMYFUNCTION("""COMPUTED_VALUE"""),"Generating Multi-label Discrete Patient Records using Generative Adversarial Networks:")</f>
        <v>Generating Multi-label Discrete Patient Records using Generative Adversarial Networks:</v>
      </c>
      <c r="B70" t="str">
        <f ca="1">IF(ISBLANK(A70), "", VLOOKUP(A70,'Annotated Papers'!69:1108,2,FALSE))</f>
        <v>ML4H</v>
      </c>
      <c r="C70" s="24">
        <f ca="1">IF(ISBLANK(A70), "", VLOOKUP(A70,'Annotated Papers'!69:1108,5,FALSE))</f>
        <v>1</v>
      </c>
      <c r="D70">
        <f ca="1">IF(ISBLANK(A70), "", IF(COUNTIF('Annotated Papers'!A:A,A70)&gt;1,1,0))</f>
        <v>1</v>
      </c>
      <c r="E70">
        <f ca="1">IF(ISBLANK(A70), "", IF(SUMIFS('Annotated Papers'!G:G, 'Annotated Papers'!A:A,A70)&gt;0,1,0))</f>
        <v>1</v>
      </c>
      <c r="F70">
        <f ca="1">IF(ISBLANK(A70), "", IF(SUMIFS('Annotated Papers'!H:H, 'Annotated Papers'!A:A,A70)&gt;0,1,0))</f>
        <v>1</v>
      </c>
      <c r="G70" t="e">
        <f ca="1">IF(ISBLANK(A70), "", IF(SUMIFS('Annotated Papers'!I:I, 'Annotated Papers'!A:A,A70)&gt;0,1,0))</f>
        <v>#NAME?</v>
      </c>
      <c r="H70">
        <f ca="1">IF(ISBLANK(A70), "", IF(SUMIFS('Annotated Papers'!L:L, 'Annotated Papers'!A:A,A70)&gt;0,1,0))</f>
        <v>0</v>
      </c>
    </row>
    <row r="71" spans="1:8" ht="14">
      <c r="A71" s="26" t="str">
        <f ca="1">IFERROR(__xludf.DUMMYFUNCTION("""COMPUTED_VALUE"""),"Quantifying Mental Health from Social Media using Learned User Embeddings:")</f>
        <v>Quantifying Mental Health from Social Media using Learned User Embeddings:</v>
      </c>
      <c r="B71" t="str">
        <f ca="1">IF(ISBLANK(A71), "", VLOOKUP(A71,'Annotated Papers'!70:1109,2,FALSE))</f>
        <v>ML4H</v>
      </c>
      <c r="C71" s="24">
        <f ca="1">IF(ISBLANK(A71), "", VLOOKUP(A71,'Annotated Papers'!70:1109,5,FALSE))</f>
        <v>1</v>
      </c>
      <c r="D71">
        <f ca="1">IF(ISBLANK(A71), "", IF(COUNTIF('Annotated Papers'!A:A,A71)&gt;1,1,0))</f>
        <v>0</v>
      </c>
      <c r="E71">
        <f ca="1">IF(ISBLANK(A71), "", IF(SUMIFS('Annotated Papers'!G:G, 'Annotated Papers'!A:A,A71)&gt;0,1,0))</f>
        <v>0</v>
      </c>
      <c r="F71">
        <f ca="1">IF(ISBLANK(A71), "", IF(SUMIFS('Annotated Papers'!H:H, 'Annotated Papers'!A:A,A71)&gt;0,1,0))</f>
        <v>1</v>
      </c>
      <c r="G71" t="e">
        <f ca="1">IF(ISBLANK(A71), "", IF(SUMIFS('Annotated Papers'!I:I, 'Annotated Papers'!A:A,A71)&gt;0,1,0))</f>
        <v>#NAME?</v>
      </c>
      <c r="H71">
        <f ca="1">IF(ISBLANK(A71), "", IF(SUMIFS('Annotated Papers'!L:L, 'Annotated Papers'!A:A,A71)&gt;0,1,0))</f>
        <v>0</v>
      </c>
    </row>
    <row r="72" spans="1:8" ht="14">
      <c r="A72" s="26" t="str">
        <f ca="1">IFERROR(__xludf.DUMMYFUNCTION("""COMPUTED_VALUE"""),"Clinical Intervention Prediction and Understanding using Deep Networks")</f>
        <v>Clinical Intervention Prediction and Understanding using Deep Networks</v>
      </c>
      <c r="B72" t="str">
        <f ca="1">IF(ISBLANK(A72), "", VLOOKUP(A72,'Annotated Papers'!71:1110,2,FALSE))</f>
        <v>ML4H</v>
      </c>
      <c r="C72" s="24">
        <f ca="1">IF(ISBLANK(A72), "", VLOOKUP(A72,'Annotated Papers'!71:1110,5,FALSE))</f>
        <v>0</v>
      </c>
      <c r="D72">
        <f ca="1">IF(ISBLANK(A72), "", IF(COUNTIF('Annotated Papers'!A:A,A72)&gt;1,1,0))</f>
        <v>0</v>
      </c>
      <c r="E72">
        <f ca="1">IF(ISBLANK(A72), "", IF(SUMIFS('Annotated Papers'!G:G, 'Annotated Papers'!A:A,A72)&gt;0,1,0))</f>
        <v>1</v>
      </c>
      <c r="F72">
        <f ca="1">IF(ISBLANK(A72), "", IF(SUMIFS('Annotated Papers'!H:H, 'Annotated Papers'!A:A,A72)&gt;0,1,0))</f>
        <v>1</v>
      </c>
      <c r="G72" t="e">
        <f ca="1">IF(ISBLANK(A72), "", IF(SUMIFS('Annotated Papers'!I:I, 'Annotated Papers'!A:A,A72)&gt;0,1,0))</f>
        <v>#NAME?</v>
      </c>
      <c r="H72">
        <f ca="1">IF(ISBLANK(A72), "", IF(SUMIFS('Annotated Papers'!L:L, 'Annotated Papers'!A:A,A72)&gt;0,1,0))</f>
        <v>0</v>
      </c>
    </row>
    <row r="73" spans="1:8" ht="14">
      <c r="A73" s="26" t="str">
        <f ca="1">IFERROR(__xludf.DUMMYFUNCTION("""COMPUTED_VALUE"""),"Understanding Coagulopathy using Multi-view Data in the Presence of Sub-Cohorts: A Hierarchical Subspace Approach")</f>
        <v>Understanding Coagulopathy using Multi-view Data in the Presence of Sub-Cohorts: A Hierarchical Subspace Approach</v>
      </c>
      <c r="B73" t="str">
        <f ca="1">IF(ISBLANK(A73), "", VLOOKUP(A73,'Annotated Papers'!72:1111,2,FALSE))</f>
        <v>ML4H</v>
      </c>
      <c r="C73" s="24">
        <f ca="1">IF(ISBLANK(A73), "", VLOOKUP(A73,'Annotated Papers'!72:1111,5,FALSE))</f>
        <v>0</v>
      </c>
      <c r="D73">
        <f ca="1">IF(ISBLANK(A73), "", IF(COUNTIF('Annotated Papers'!A:A,A73)&gt;1,1,0))</f>
        <v>0</v>
      </c>
      <c r="E73">
        <f ca="1">IF(ISBLANK(A73), "", IF(SUMIFS('Annotated Papers'!G:G, 'Annotated Papers'!A:A,A73)&gt;0,1,0))</f>
        <v>1</v>
      </c>
      <c r="F73">
        <f ca="1">IF(ISBLANK(A73), "", IF(SUMIFS('Annotated Papers'!H:H, 'Annotated Papers'!A:A,A73)&gt;0,1,0))</f>
        <v>0</v>
      </c>
      <c r="G73" t="e">
        <f ca="1">IF(ISBLANK(A73), "", IF(SUMIFS('Annotated Papers'!I:I, 'Annotated Papers'!A:A,A73)&gt;0,1,0))</f>
        <v>#NAME?</v>
      </c>
      <c r="H73">
        <f ca="1">IF(ISBLANK(A73), "", IF(SUMIFS('Annotated Papers'!L:L, 'Annotated Papers'!A:A,A73)&gt;0,1,0))</f>
        <v>0</v>
      </c>
    </row>
    <row r="74" spans="1:8" ht="14">
      <c r="A74" s="26" t="str">
        <f ca="1">IFERROR(__xludf.DUMMYFUNCTION("""COMPUTED_VALUE"""),"Towards a directory of rare disease specialists: Identifying experts from publication history")</f>
        <v>Towards a directory of rare disease specialists: Identifying experts from publication history</v>
      </c>
      <c r="B74" t="str">
        <f ca="1">IF(ISBLANK(A74), "", VLOOKUP(A74,'Annotated Papers'!73:1112,2,FALSE))</f>
        <v>ML4H</v>
      </c>
      <c r="C74" s="24">
        <f ca="1">IF(ISBLANK(A74), "", VLOOKUP(A74,'Annotated Papers'!73:1112,5,FALSE))</f>
        <v>1</v>
      </c>
      <c r="D74">
        <f ca="1">IF(ISBLANK(A74), "", IF(COUNTIF('Annotated Papers'!A:A,A74)&gt;1,1,0))</f>
        <v>0</v>
      </c>
      <c r="E74">
        <f ca="1">IF(ISBLANK(A74), "", IF(SUMIFS('Annotated Papers'!G:G, 'Annotated Papers'!A:A,A74)&gt;0,1,0))</f>
        <v>0</v>
      </c>
      <c r="F74">
        <f ca="1">IF(ISBLANK(A74), "", IF(SUMIFS('Annotated Papers'!H:H, 'Annotated Papers'!A:A,A74)&gt;0,1,0))</f>
        <v>0</v>
      </c>
      <c r="G74" t="e">
        <f ca="1">IF(ISBLANK(A74), "", IF(SUMIFS('Annotated Papers'!I:I, 'Annotated Papers'!A:A,A74)&gt;0,1,0))</f>
        <v>#NAME?</v>
      </c>
      <c r="H74">
        <f ca="1">IF(ISBLANK(A74), "", IF(SUMIFS('Annotated Papers'!L:L, 'Annotated Papers'!A:A,A74)&gt;0,1,0))</f>
        <v>0</v>
      </c>
    </row>
    <row r="75" spans="1:8" ht="14">
      <c r="A75" s="26" t="str">
        <f ca="1">IFERROR(__xludf.DUMMYFUNCTION("""COMPUTED_VALUE"""),"Reproducibility in critical care: a mortality prediction case study:")</f>
        <v>Reproducibility in critical care: a mortality prediction case study:</v>
      </c>
      <c r="B75" t="str">
        <f ca="1">IF(ISBLANK(A75), "", VLOOKUP(A75,'Annotated Papers'!74:1113,2,FALSE))</f>
        <v>ML4H</v>
      </c>
      <c r="C75" s="24">
        <f ca="1">IF(ISBLANK(A75), "", VLOOKUP(A75,'Annotated Papers'!74:1113,5,FALSE))</f>
        <v>1</v>
      </c>
      <c r="D75">
        <f ca="1">IF(ISBLANK(A75), "", IF(COUNTIF('Annotated Papers'!A:A,A75)&gt;1,1,0))</f>
        <v>0</v>
      </c>
      <c r="E75">
        <f ca="1">IF(ISBLANK(A75), "", IF(SUMIFS('Annotated Papers'!G:G, 'Annotated Papers'!A:A,A75)&gt;0,1,0))</f>
        <v>1</v>
      </c>
      <c r="F75">
        <f ca="1">IF(ISBLANK(A75), "", IF(SUMIFS('Annotated Papers'!H:H, 'Annotated Papers'!A:A,A75)&gt;0,1,0))</f>
        <v>1</v>
      </c>
      <c r="G75" t="e">
        <f ca="1">IF(ISBLANK(A75), "", IF(SUMIFS('Annotated Papers'!I:I, 'Annotated Papers'!A:A,A75)&gt;0,1,0))</f>
        <v>#NAME?</v>
      </c>
      <c r="H75">
        <f ca="1">IF(ISBLANK(A75), "", IF(SUMIFS('Annotated Papers'!L:L, 'Annotated Papers'!A:A,A75)&gt;0,1,0))</f>
        <v>0</v>
      </c>
    </row>
    <row r="76" spans="1:8" ht="14">
      <c r="A76" s="26" t="str">
        <f ca="1">IFERROR(__xludf.DUMMYFUNCTION("""COMPUTED_VALUE"""),"Predicting Infant Motor Development Status using Day Long Movement Data from Wearable Sensors")</f>
        <v>Predicting Infant Motor Development Status using Day Long Movement Data from Wearable Sensors</v>
      </c>
      <c r="B76" t="str">
        <f ca="1">IF(ISBLANK(A76), "", VLOOKUP(A76,'Annotated Papers'!75:1114,2,FALSE))</f>
        <v>ML4H</v>
      </c>
      <c r="C76" s="24">
        <f ca="1">IF(ISBLANK(A76), "", VLOOKUP(A76,'Annotated Papers'!75:1114,5,FALSE))</f>
        <v>0</v>
      </c>
      <c r="D76">
        <f ca="1">IF(ISBLANK(A76), "", IF(COUNTIF('Annotated Papers'!A:A,A76)&gt;1,1,0))</f>
        <v>0</v>
      </c>
      <c r="E76">
        <f ca="1">IF(ISBLANK(A76), "", IF(SUMIFS('Annotated Papers'!G:G, 'Annotated Papers'!A:A,A76)&gt;0,1,0))</f>
        <v>1</v>
      </c>
      <c r="F76">
        <f ca="1">IF(ISBLANK(A76), "", IF(SUMIFS('Annotated Papers'!H:H, 'Annotated Papers'!A:A,A76)&gt;0,1,0))</f>
        <v>0</v>
      </c>
      <c r="G76" t="e">
        <f ca="1">IF(ISBLANK(A76), "", IF(SUMIFS('Annotated Papers'!I:I, 'Annotated Papers'!A:A,A76)&gt;0,1,0))</f>
        <v>#NAME?</v>
      </c>
      <c r="H76">
        <f ca="1">IF(ISBLANK(A76), "", IF(SUMIFS('Annotated Papers'!L:L, 'Annotated Papers'!A:A,A76)&gt;0,1,0))</f>
        <v>0</v>
      </c>
    </row>
    <row r="77" spans="1:8" ht="14">
      <c r="A77" s="26" t="str">
        <f ca="1">IFERROR(__xludf.DUMMYFUNCTION("""COMPUTED_VALUE"""),"Interpretable Patient Mortality Prediction with Multi-value Rule Sets")</f>
        <v>Interpretable Patient Mortality Prediction with Multi-value Rule Sets</v>
      </c>
      <c r="B77" t="str">
        <f ca="1">IF(ISBLANK(A77), "", VLOOKUP(A77,'Annotated Papers'!76:1115,2,FALSE))</f>
        <v>ML4H</v>
      </c>
      <c r="C77" s="24">
        <f ca="1">IF(ISBLANK(A77), "", VLOOKUP(A77,'Annotated Papers'!76:1115,5,FALSE))</f>
        <v>1</v>
      </c>
      <c r="D77">
        <f ca="1">IF(ISBLANK(A77), "", IF(COUNTIF('Annotated Papers'!A:A,A77)&gt;1,1,0))</f>
        <v>0</v>
      </c>
      <c r="E77">
        <f ca="1">IF(ISBLANK(A77), "", IF(SUMIFS('Annotated Papers'!G:G, 'Annotated Papers'!A:A,A77)&gt;0,1,0))</f>
        <v>1</v>
      </c>
      <c r="F77">
        <f ca="1">IF(ISBLANK(A77), "", IF(SUMIFS('Annotated Papers'!H:H, 'Annotated Papers'!A:A,A77)&gt;0,1,0))</f>
        <v>0</v>
      </c>
      <c r="G77" t="e">
        <f ca="1">IF(ISBLANK(A77), "", IF(SUMIFS('Annotated Papers'!I:I, 'Annotated Papers'!A:A,A77)&gt;0,1,0))</f>
        <v>#NAME?</v>
      </c>
      <c r="H77">
        <f ca="1">IF(ISBLANK(A77), "", IF(SUMIFS('Annotated Papers'!L:L, 'Annotated Papers'!A:A,A77)&gt;0,1,0))</f>
        <v>0</v>
      </c>
    </row>
    <row r="78" spans="1:8" ht="14">
      <c r="A78" s="26" t="str">
        <f ca="1">IFERROR(__xludf.DUMMYFUNCTION("""COMPUTED_VALUE"""),"Forecasting Disease Trajectories in Alzheimer's Disease Using Deep Learning")</f>
        <v>Forecasting Disease Trajectories in Alzheimer's Disease Using Deep Learning</v>
      </c>
      <c r="B78" t="str">
        <f ca="1">IF(ISBLANK(A78), "", VLOOKUP(A78,'Annotated Papers'!77:1116,2,FALSE))</f>
        <v>ML4H</v>
      </c>
      <c r="C78" s="24">
        <f ca="1">IF(ISBLANK(A78), "", VLOOKUP(A78,'Annotated Papers'!77:1116,5,FALSE))</f>
        <v>0</v>
      </c>
      <c r="D78">
        <f ca="1">IF(ISBLANK(A78), "", IF(COUNTIF('Annotated Papers'!A:A,A78)&gt;1,1,0))</f>
        <v>0</v>
      </c>
      <c r="E78">
        <f ca="1">IF(ISBLANK(A78), "", IF(SUMIFS('Annotated Papers'!G:G, 'Annotated Papers'!A:A,A78)&gt;0,1,0))</f>
        <v>1</v>
      </c>
      <c r="F78">
        <f ca="1">IF(ISBLANK(A78), "", IF(SUMIFS('Annotated Papers'!H:H, 'Annotated Papers'!A:A,A78)&gt;0,1,0))</f>
        <v>1</v>
      </c>
      <c r="G78" t="e">
        <f ca="1">IF(ISBLANK(A78), "", IF(SUMIFS('Annotated Papers'!I:I, 'Annotated Papers'!A:A,A78)&gt;0,1,0))</f>
        <v>#NAME?</v>
      </c>
      <c r="H78">
        <f ca="1">IF(ISBLANK(A78), "", IF(SUMIFS('Annotated Papers'!L:L, 'Annotated Papers'!A:A,A78)&gt;0,1,0))</f>
        <v>1</v>
      </c>
    </row>
    <row r="79" spans="1:8" ht="14">
      <c r="A79" s="26" t="str">
        <f ca="1">IFERROR(__xludf.DUMMYFUNCTION("""COMPUTED_VALUE"""),"PIVETed-Granite: Computational Phenotypes through Constrained Tensor Factorization")</f>
        <v>PIVETed-Granite: Computational Phenotypes through Constrained Tensor Factorization</v>
      </c>
      <c r="B79" t="str">
        <f ca="1">IF(ISBLANK(A79), "", VLOOKUP(A79,'Annotated Papers'!78:1117,2,FALSE))</f>
        <v>ML4H</v>
      </c>
      <c r="C79" s="24">
        <f ca="1">IF(ISBLANK(A79), "", VLOOKUP(A79,'Annotated Papers'!78:1117,5,FALSE))</f>
        <v>0</v>
      </c>
      <c r="D79">
        <f ca="1">IF(ISBLANK(A79), "", IF(COUNTIF('Annotated Papers'!A:A,A79)&gt;1,1,0))</f>
        <v>0</v>
      </c>
      <c r="E79">
        <f ca="1">IF(ISBLANK(A79), "", IF(SUMIFS('Annotated Papers'!G:G, 'Annotated Papers'!A:A,A79)&gt;0,1,0))</f>
        <v>1</v>
      </c>
      <c r="F79">
        <f ca="1">IF(ISBLANK(A79), "", IF(SUMIFS('Annotated Papers'!H:H, 'Annotated Papers'!A:A,A79)&gt;0,1,0))</f>
        <v>1</v>
      </c>
      <c r="G79" t="e">
        <f ca="1">IF(ISBLANK(A79), "", IF(SUMIFS('Annotated Papers'!I:I, 'Annotated Papers'!A:A,A79)&gt;0,1,0))</f>
        <v>#NAME?</v>
      </c>
      <c r="H79">
        <f ca="1">IF(ISBLANK(A79), "", IF(SUMIFS('Annotated Papers'!L:L, 'Annotated Papers'!A:A,A79)&gt;0,1,0))</f>
        <v>1</v>
      </c>
    </row>
    <row r="80" spans="1:8" ht="14">
      <c r="A80" s="26" t="str">
        <f ca="1">IFERROR(__xludf.DUMMYFUNCTION("""COMPUTED_VALUE"""),"Mapping Unparalleled Clinical Professional and Consumer Languages with Embedding Alignment")</f>
        <v>Mapping Unparalleled Clinical Professional and Consumer Languages with Embedding Alignment</v>
      </c>
      <c r="B80" t="str">
        <f ca="1">IF(ISBLANK(A80), "", VLOOKUP(A80,'Annotated Papers'!79:1118,2,FALSE))</f>
        <v>ML4H</v>
      </c>
      <c r="C80" s="24">
        <f ca="1">IF(ISBLANK(A80), "", VLOOKUP(A80,'Annotated Papers'!79:1118,5,FALSE))</f>
        <v>0</v>
      </c>
      <c r="D80">
        <f ca="1">IF(ISBLANK(A80), "", IF(COUNTIF('Annotated Papers'!A:A,A80)&gt;1,1,0))</f>
        <v>0</v>
      </c>
      <c r="E80">
        <f ca="1">IF(ISBLANK(A80), "", IF(SUMIFS('Annotated Papers'!G:G, 'Annotated Papers'!A:A,A80)&gt;0,1,0))</f>
        <v>1</v>
      </c>
      <c r="F80">
        <f ca="1">IF(ISBLANK(A80), "", IF(SUMIFS('Annotated Papers'!H:H, 'Annotated Papers'!A:A,A80)&gt;0,1,0))</f>
        <v>1</v>
      </c>
      <c r="G80" t="e">
        <f ca="1">IF(ISBLANK(A80), "", IF(SUMIFS('Annotated Papers'!I:I, 'Annotated Papers'!A:A,A80)&gt;0,1,0))</f>
        <v>#NAME?</v>
      </c>
      <c r="H80">
        <f ca="1">IF(ISBLANK(A80), "", IF(SUMIFS('Annotated Papers'!L:L, 'Annotated Papers'!A:A,A80)&gt;0,1,0))</f>
        <v>1</v>
      </c>
    </row>
    <row r="81" spans="1:8" ht="14">
      <c r="A81" s="26" t="str">
        <f ca="1">IFERROR(__xludf.DUMMYFUNCTION("""COMPUTED_VALUE"""),"Ensemble learning with Conformal Predictors: Targeting credible predictions of conversion from Mild Cognitive Impairment to Alzheimer’s Disease")</f>
        <v>Ensemble learning with Conformal Predictors: Targeting credible predictions of conversion from Mild Cognitive Impairment to Alzheimer’s Disease</v>
      </c>
      <c r="B81" t="str">
        <f ca="1">IF(ISBLANK(A81), "", VLOOKUP(A81,'Annotated Papers'!80:1119,2,FALSE))</f>
        <v>ML4H</v>
      </c>
      <c r="C81" s="24">
        <f ca="1">IF(ISBLANK(A81), "", VLOOKUP(A81,'Annotated Papers'!80:1119,5,FALSE))</f>
        <v>0</v>
      </c>
      <c r="D81">
        <f ca="1">IF(ISBLANK(A81), "", IF(COUNTIF('Annotated Papers'!A:A,A81)&gt;1,1,0))</f>
        <v>0</v>
      </c>
      <c r="E81">
        <f ca="1">IF(ISBLANK(A81), "", IF(SUMIFS('Annotated Papers'!G:G, 'Annotated Papers'!A:A,A81)&gt;0,1,0))</f>
        <v>1</v>
      </c>
      <c r="F81">
        <f ca="1">IF(ISBLANK(A81), "", IF(SUMIFS('Annotated Papers'!H:H, 'Annotated Papers'!A:A,A81)&gt;0,1,0))</f>
        <v>0</v>
      </c>
      <c r="G81" t="e">
        <f ca="1">IF(ISBLANK(A81), "", IF(SUMIFS('Annotated Papers'!I:I, 'Annotated Papers'!A:A,A81)&gt;0,1,0))</f>
        <v>#NAME?</v>
      </c>
      <c r="H81">
        <f ca="1">IF(ISBLANK(A81), "", IF(SUMIFS('Annotated Papers'!L:L, 'Annotated Papers'!A:A,A81)&gt;0,1,0))</f>
        <v>1</v>
      </c>
    </row>
    <row r="82" spans="1:8" ht="14">
      <c r="A82" s="26" t="str">
        <f ca="1">IFERROR(__xludf.DUMMYFUNCTION("""COMPUTED_VALUE"""),"Multi-Task Learning with Incomplete Data for Healthcare")</f>
        <v>Multi-Task Learning with Incomplete Data for Healthcare</v>
      </c>
      <c r="B82" t="str">
        <f ca="1">IF(ISBLANK(A82), "", VLOOKUP(A82,'Annotated Papers'!81:1120,2,FALSE))</f>
        <v>ML4H</v>
      </c>
      <c r="C82" s="24">
        <f ca="1">IF(ISBLANK(A82), "", VLOOKUP(A82,'Annotated Papers'!81:1120,5,FALSE))</f>
        <v>0</v>
      </c>
      <c r="D82">
        <f ca="1">IF(ISBLANK(A82), "", IF(COUNTIF('Annotated Papers'!A:A,A82)&gt;1,1,0))</f>
        <v>0</v>
      </c>
      <c r="E82">
        <f ca="1">IF(ISBLANK(A82), "", IF(SUMIFS('Annotated Papers'!G:G, 'Annotated Papers'!A:A,A82)&gt;0,1,0))</f>
        <v>1</v>
      </c>
      <c r="F82">
        <f ca="1">IF(ISBLANK(A82), "", IF(SUMIFS('Annotated Papers'!H:H, 'Annotated Papers'!A:A,A82)&gt;0,1,0))</f>
        <v>1</v>
      </c>
      <c r="G82" t="e">
        <f ca="1">IF(ISBLANK(A82), "", IF(SUMIFS('Annotated Papers'!I:I, 'Annotated Papers'!A:A,A82)&gt;0,1,0))</f>
        <v>#NAME?</v>
      </c>
      <c r="H82">
        <f ca="1">IF(ISBLANK(A82), "", IF(SUMIFS('Annotated Papers'!L:L, 'Annotated Papers'!A:A,A82)&gt;0,1,0))</f>
        <v>0</v>
      </c>
    </row>
    <row r="83" spans="1:8" ht="14">
      <c r="A83" s="26" t="str">
        <f ca="1">IFERROR(__xludf.DUMMYFUNCTION("""COMPUTED_VALUE"""),"Mammography Dual View Mass Correspondence")</f>
        <v>Mammography Dual View Mass Correspondence</v>
      </c>
      <c r="B83" t="str">
        <f ca="1">IF(ISBLANK(A83), "", VLOOKUP(A83,'Annotated Papers'!82:1121,2,FALSE))</f>
        <v>ML4H</v>
      </c>
      <c r="C83" s="24">
        <f ca="1">IF(ISBLANK(A83), "", VLOOKUP(A83,'Annotated Papers'!82:1121,5,FALSE))</f>
        <v>0</v>
      </c>
      <c r="D83">
        <f ca="1">IF(ISBLANK(A83), "", IF(COUNTIF('Annotated Papers'!A:A,A83)&gt;1,1,0))</f>
        <v>1</v>
      </c>
      <c r="E83">
        <f ca="1">IF(ISBLANK(A83), "", IF(SUMIFS('Annotated Papers'!G:G, 'Annotated Papers'!A:A,A83)&gt;0,1,0))</f>
        <v>0</v>
      </c>
      <c r="F83">
        <f ca="1">IF(ISBLANK(A83), "", IF(SUMIFS('Annotated Papers'!H:H, 'Annotated Papers'!A:A,A83)&gt;0,1,0))</f>
        <v>1</v>
      </c>
      <c r="G83" t="e">
        <f ca="1">IF(ISBLANK(A83), "", IF(SUMIFS('Annotated Papers'!I:I, 'Annotated Papers'!A:A,A83)&gt;0,1,0))</f>
        <v>#NAME?</v>
      </c>
      <c r="H83">
        <f ca="1">IF(ISBLANK(A83), "", IF(SUMIFS('Annotated Papers'!L:L, 'Annotated Papers'!A:A,A83)&gt;0,1,0))</f>
        <v>0</v>
      </c>
    </row>
    <row r="84" spans="1:8" ht="14">
      <c r="A84" s="26" t="str">
        <f ca="1">IFERROR(__xludf.DUMMYFUNCTION("""COMPUTED_VALUE"""),"Transfer Learning for Clinical Time Series Analysis using Recurrent Neural Networks")</f>
        <v>Transfer Learning for Clinical Time Series Analysis using Recurrent Neural Networks</v>
      </c>
      <c r="B84" t="str">
        <f ca="1">IF(ISBLANK(A84), "", VLOOKUP(A84,'Annotated Papers'!83:1122,2,FALSE))</f>
        <v>ML4H</v>
      </c>
      <c r="C84" s="24">
        <f ca="1">IF(ISBLANK(A84), "", VLOOKUP(A84,'Annotated Papers'!83:1122,5,FALSE))</f>
        <v>0</v>
      </c>
      <c r="D84">
        <f ca="1">IF(ISBLANK(A84), "", IF(COUNTIF('Annotated Papers'!A:A,A84)&gt;1,1,0))</f>
        <v>0</v>
      </c>
      <c r="E84">
        <f ca="1">IF(ISBLANK(A84), "", IF(SUMIFS('Annotated Papers'!G:G, 'Annotated Papers'!A:A,A84)&gt;0,1,0))</f>
        <v>1</v>
      </c>
      <c r="F84">
        <f ca="1">IF(ISBLANK(A84), "", IF(SUMIFS('Annotated Papers'!H:H, 'Annotated Papers'!A:A,A84)&gt;0,1,0))</f>
        <v>1</v>
      </c>
      <c r="G84" t="e">
        <f ca="1">IF(ISBLANK(A84), "", IF(SUMIFS('Annotated Papers'!I:I, 'Annotated Papers'!A:A,A84)&gt;0,1,0))</f>
        <v>#NAME?</v>
      </c>
      <c r="H84">
        <f ca="1">IF(ISBLANK(A84), "", IF(SUMIFS('Annotated Papers'!L:L, 'Annotated Papers'!A:A,A84)&gt;0,1,0))</f>
        <v>0</v>
      </c>
    </row>
    <row r="85" spans="1:8" ht="14">
      <c r="A85" s="26" t="str">
        <f ca="1">IFERROR(__xludf.DUMMYFUNCTION("""COMPUTED_VALUE"""),"YouTube for Patient Education: A Deep Learning Approach for Understanding Medical Knowledge from User-Generated Videos")</f>
        <v>YouTube for Patient Education: A Deep Learning Approach for Understanding Medical Knowledge from User-Generated Videos</v>
      </c>
      <c r="B85" t="str">
        <f ca="1">IF(ISBLANK(A85), "", VLOOKUP(A85,'Annotated Papers'!84:1123,2,FALSE))</f>
        <v>ML4H</v>
      </c>
      <c r="C85" s="24">
        <f ca="1">IF(ISBLANK(A85), "", VLOOKUP(A85,'Annotated Papers'!84:1123,5,FALSE))</f>
        <v>0</v>
      </c>
      <c r="D85">
        <f ca="1">IF(ISBLANK(A85), "", IF(COUNTIF('Annotated Papers'!A:A,A85)&gt;1,1,0))</f>
        <v>0</v>
      </c>
      <c r="E85">
        <f ca="1">IF(ISBLANK(A85), "", IF(SUMIFS('Annotated Papers'!G:G, 'Annotated Papers'!A:A,A85)&gt;0,1,0))</f>
        <v>0</v>
      </c>
      <c r="F85">
        <f ca="1">IF(ISBLANK(A85), "", IF(SUMIFS('Annotated Papers'!H:H, 'Annotated Papers'!A:A,A85)&gt;0,1,0))</f>
        <v>1</v>
      </c>
      <c r="G85" t="e">
        <f ca="1">IF(ISBLANK(A85), "", IF(SUMIFS('Annotated Papers'!I:I, 'Annotated Papers'!A:A,A85)&gt;0,1,0))</f>
        <v>#NAME?</v>
      </c>
      <c r="H85">
        <f ca="1">IF(ISBLANK(A85), "", IF(SUMIFS('Annotated Papers'!L:L, 'Annotated Papers'!A:A,A85)&gt;0,1,0))</f>
        <v>0</v>
      </c>
    </row>
    <row r="86" spans="1:8" ht="14">
      <c r="A86" s="26" t="str">
        <f ca="1">IFERROR(__xludf.DUMMYFUNCTION("""COMPUTED_VALUE"""),"Recognising Cardiac Abnormalities in Wearable Device Photoplethysmography (PPG) with Deep Learning")</f>
        <v>Recognising Cardiac Abnormalities in Wearable Device Photoplethysmography (PPG) with Deep Learning</v>
      </c>
      <c r="B86" t="str">
        <f ca="1">IF(ISBLANK(A86), "", VLOOKUP(A86,'Annotated Papers'!85:1124,2,FALSE))</f>
        <v>ML4H</v>
      </c>
      <c r="C86" s="24">
        <f ca="1">IF(ISBLANK(A86), "", VLOOKUP(A86,'Annotated Papers'!85:1124,5,FALSE))</f>
        <v>0</v>
      </c>
      <c r="D86">
        <f ca="1">IF(ISBLANK(A86), "", IF(COUNTIF('Annotated Papers'!A:A,A86)&gt;1,1,0))</f>
        <v>0</v>
      </c>
      <c r="E86">
        <f ca="1">IF(ISBLANK(A86), "", IF(SUMIFS('Annotated Papers'!G:G, 'Annotated Papers'!A:A,A86)&gt;0,1,0))</f>
        <v>1</v>
      </c>
      <c r="F86">
        <f ca="1">IF(ISBLANK(A86), "", IF(SUMIFS('Annotated Papers'!H:H, 'Annotated Papers'!A:A,A86)&gt;0,1,0))</f>
        <v>0</v>
      </c>
      <c r="G86" t="e">
        <f ca="1">IF(ISBLANK(A86), "", IF(SUMIFS('Annotated Papers'!I:I, 'Annotated Papers'!A:A,A86)&gt;0,1,0))</f>
        <v>#NAME?</v>
      </c>
      <c r="H86">
        <f ca="1">IF(ISBLANK(A86), "", IF(SUMIFS('Annotated Papers'!L:L, 'Annotated Papers'!A:A,A86)&gt;0,1,0))</f>
        <v>0</v>
      </c>
    </row>
    <row r="87" spans="1:8" ht="14">
      <c r="A87" s="26" t="str">
        <f ca="1">IFERROR(__xludf.DUMMYFUNCTION("""COMPUTED_VALUE"""),"Online Heart Rate Prediction using Acceleration from a Wrist Worn Wearable")</f>
        <v>Online Heart Rate Prediction using Acceleration from a Wrist Worn Wearable</v>
      </c>
      <c r="B87" t="str">
        <f ca="1">IF(ISBLANK(A87), "", VLOOKUP(A87,'Annotated Papers'!86:1125,2,FALSE))</f>
        <v>ML4H</v>
      </c>
      <c r="C87" s="24">
        <f ca="1">IF(ISBLANK(A87), "", VLOOKUP(A87,'Annotated Papers'!86:1125,5,FALSE))</f>
        <v>0</v>
      </c>
      <c r="D87">
        <f ca="1">IF(ISBLANK(A87), "", IF(COUNTIF('Annotated Papers'!A:A,A87)&gt;1,1,0))</f>
        <v>0</v>
      </c>
      <c r="E87">
        <f ca="1">IF(ISBLANK(A87), "", IF(SUMIFS('Annotated Papers'!G:G, 'Annotated Papers'!A:A,A87)&gt;0,1,0))</f>
        <v>1</v>
      </c>
      <c r="F87">
        <f ca="1">IF(ISBLANK(A87), "", IF(SUMIFS('Annotated Papers'!H:H, 'Annotated Papers'!A:A,A87)&gt;0,1,0))</f>
        <v>0</v>
      </c>
      <c r="G87" t="e">
        <f ca="1">IF(ISBLANK(A87), "", IF(SUMIFS('Annotated Papers'!I:I, 'Annotated Papers'!A:A,A87)&gt;0,1,0))</f>
        <v>#NAME?</v>
      </c>
      <c r="H87">
        <f ca="1">IF(ISBLANK(A87), "", IF(SUMIFS('Annotated Papers'!L:L, 'Annotated Papers'!A:A,A87)&gt;0,1,0))</f>
        <v>0</v>
      </c>
    </row>
    <row r="88" spans="1:8" ht="14">
      <c r="A88" s="26" t="str">
        <f ca="1">IFERROR(__xludf.DUMMYFUNCTION("""COMPUTED_VALUE"""),"A hybrid deep learning approach for medical relation extraction")</f>
        <v>A hybrid deep learning approach for medical relation extraction</v>
      </c>
      <c r="B88" t="str">
        <f ca="1">IF(ISBLANK(A88), "", VLOOKUP(A88,'Annotated Papers'!87:1126,2,FALSE))</f>
        <v>ML4H</v>
      </c>
      <c r="C88" s="24">
        <f ca="1">IF(ISBLANK(A88), "", VLOOKUP(A88,'Annotated Papers'!87:1126,5,FALSE))</f>
        <v>0</v>
      </c>
      <c r="D88">
        <f ca="1">IF(ISBLANK(A88), "", IF(COUNTIF('Annotated Papers'!A:A,A88)&gt;1,1,0))</f>
        <v>0</v>
      </c>
      <c r="E88">
        <f ca="1">IF(ISBLANK(A88), "", IF(SUMIFS('Annotated Papers'!G:G, 'Annotated Papers'!A:A,A88)&gt;0,1,0))</f>
        <v>0</v>
      </c>
      <c r="F88">
        <f ca="1">IF(ISBLANK(A88), "", IF(SUMIFS('Annotated Papers'!H:H, 'Annotated Papers'!A:A,A88)&gt;0,1,0))</f>
        <v>1</v>
      </c>
      <c r="G88" t="e">
        <f ca="1">IF(ISBLANK(A88), "", IF(SUMIFS('Annotated Papers'!I:I, 'Annotated Papers'!A:A,A88)&gt;0,1,0))</f>
        <v>#NAME?</v>
      </c>
      <c r="H88">
        <f ca="1">IF(ISBLANK(A88), "", IF(SUMIFS('Annotated Papers'!L:L, 'Annotated Papers'!A:A,A88)&gt;0,1,0))</f>
        <v>0</v>
      </c>
    </row>
    <row r="89" spans="1:8" ht="14">
      <c r="A89" s="26" t="str">
        <f ca="1">IFERROR(__xludf.DUMMYFUNCTION("""COMPUTED_VALUE"""),"Building a Controlled Vocabulary for Standardizing Precision Medicine Terms")</f>
        <v>Building a Controlled Vocabulary for Standardizing Precision Medicine Terms</v>
      </c>
      <c r="B89" t="str">
        <f ca="1">IF(ISBLANK(A89), "", VLOOKUP(A89,'Annotated Papers'!88:1127,2,FALSE))</f>
        <v>ML4H</v>
      </c>
      <c r="C89" s="24">
        <f ca="1">IF(ISBLANK(A89), "", VLOOKUP(A89,'Annotated Papers'!88:1127,5,FALSE))</f>
        <v>0</v>
      </c>
      <c r="D89">
        <f ca="1">IF(ISBLANK(A89), "", IF(COUNTIF('Annotated Papers'!A:A,A89)&gt;1,1,0))</f>
        <v>0</v>
      </c>
      <c r="E89">
        <f ca="1">IF(ISBLANK(A89), "", IF(SUMIFS('Annotated Papers'!G:G, 'Annotated Papers'!A:A,A89)&gt;0,1,0))</f>
        <v>0</v>
      </c>
      <c r="F89">
        <f ca="1">IF(ISBLANK(A89), "", IF(SUMIFS('Annotated Papers'!H:H, 'Annotated Papers'!A:A,A89)&gt;0,1,0))</f>
        <v>0</v>
      </c>
      <c r="G89" t="e">
        <f ca="1">IF(ISBLANK(A89), "", IF(SUMIFS('Annotated Papers'!I:I, 'Annotated Papers'!A:A,A89)&gt;0,1,0))</f>
        <v>#NAME?</v>
      </c>
      <c r="H89">
        <f ca="1">IF(ISBLANK(A89), "", IF(SUMIFS('Annotated Papers'!L:L, 'Annotated Papers'!A:A,A89)&gt;0,1,0))</f>
        <v>0</v>
      </c>
    </row>
    <row r="90" spans="1:8" ht="14">
      <c r="A90" s="26" t="str">
        <f ca="1">IFERROR(__xludf.DUMMYFUNCTION("""COMPUTED_VALUE"""),"Measuring the quality of Synthetic data for use in competitions")</f>
        <v>Measuring the quality of Synthetic data for use in competitions</v>
      </c>
      <c r="B90" t="str">
        <f ca="1">IF(ISBLANK(A90), "", VLOOKUP(A90,'Annotated Papers'!89:1128,2,FALSE))</f>
        <v>ML4H</v>
      </c>
      <c r="C90" s="24">
        <f ca="1">IF(ISBLANK(A90), "", VLOOKUP(A90,'Annotated Papers'!89:1128,5,FALSE))</f>
        <v>1</v>
      </c>
      <c r="D90">
        <f ca="1">IF(ISBLANK(A90), "", IF(COUNTIF('Annotated Papers'!A:A,A90)&gt;1,1,0))</f>
        <v>0</v>
      </c>
      <c r="E90">
        <f ca="1">IF(ISBLANK(A90), "", IF(SUMIFS('Annotated Papers'!G:G, 'Annotated Papers'!A:A,A90)&gt;0,1,0))</f>
        <v>0</v>
      </c>
      <c r="F90">
        <f ca="1">IF(ISBLANK(A90), "", IF(SUMIFS('Annotated Papers'!H:H, 'Annotated Papers'!A:A,A90)&gt;0,1,0))</f>
        <v>0</v>
      </c>
      <c r="G90" t="e">
        <f ca="1">IF(ISBLANK(A90), "", IF(SUMIFS('Annotated Papers'!I:I, 'Annotated Papers'!A:A,A90)&gt;0,1,0))</f>
        <v>#NAME?</v>
      </c>
      <c r="H90">
        <f ca="1">IF(ISBLANK(A90), "", IF(SUMIFS('Annotated Papers'!L:L, 'Annotated Papers'!A:A,A90)&gt;0,1,0))</f>
        <v>0</v>
      </c>
    </row>
    <row r="91" spans="1:8" ht="14">
      <c r="A91" s="26" t="str">
        <f ca="1">IFERROR(__xludf.DUMMYFUNCTION("""COMPUTED_VALUE"""),"Generating Synthetic but Plausible Healthcare Record Datasets")</f>
        <v>Generating Synthetic but Plausible Healthcare Record Datasets</v>
      </c>
      <c r="B91" t="str">
        <f ca="1">IF(ISBLANK(A91), "", VLOOKUP(A91,'Annotated Papers'!90:1129,2,FALSE))</f>
        <v>ML4H</v>
      </c>
      <c r="C91" s="24">
        <f ca="1">IF(ISBLANK(A91), "", VLOOKUP(A91,'Annotated Papers'!90:1129,5,FALSE))</f>
        <v>1</v>
      </c>
      <c r="D91">
        <f ca="1">IF(ISBLANK(A91), "", IF(COUNTIF('Annotated Papers'!A:A,A91)&gt;1,1,0))</f>
        <v>1</v>
      </c>
      <c r="E91">
        <f ca="1">IF(ISBLANK(A91), "", IF(SUMIFS('Annotated Papers'!G:G, 'Annotated Papers'!A:A,A91)&gt;0,1,0))</f>
        <v>1</v>
      </c>
      <c r="F91">
        <f ca="1">IF(ISBLANK(A91), "", IF(SUMIFS('Annotated Papers'!H:H, 'Annotated Papers'!A:A,A91)&gt;0,1,0))</f>
        <v>1</v>
      </c>
      <c r="G91" t="e">
        <f ca="1">IF(ISBLANK(A91), "", IF(SUMIFS('Annotated Papers'!I:I, 'Annotated Papers'!A:A,A91)&gt;0,1,0))</f>
        <v>#NAME?</v>
      </c>
      <c r="H91">
        <f ca="1">IF(ISBLANK(A91), "", IF(SUMIFS('Annotated Papers'!L:L, 'Annotated Papers'!A:A,A91)&gt;0,1,0))</f>
        <v>0</v>
      </c>
    </row>
    <row r="92" spans="1:8" ht="14">
      <c r="A92" s="26" t="str">
        <f ca="1">IFERROR(__xludf.DUMMYFUNCTION("""COMPUTED_VALUE"""),"Mammography Assessment using Multi-Scale Deep Classifiers")</f>
        <v>Mammography Assessment using Multi-Scale Deep Classifiers</v>
      </c>
      <c r="B92" t="str">
        <f ca="1">IF(ISBLANK(A92), "", VLOOKUP(A92,'Annotated Papers'!91:1130,2,FALSE))</f>
        <v>ML4H</v>
      </c>
      <c r="C92" s="24">
        <f ca="1">IF(ISBLANK(A92), "", VLOOKUP(A92,'Annotated Papers'!91:1130,5,FALSE))</f>
        <v>0</v>
      </c>
      <c r="D92">
        <f ca="1">IF(ISBLANK(A92), "", IF(COUNTIF('Annotated Papers'!A:A,A92)&gt;1,1,0))</f>
        <v>0</v>
      </c>
      <c r="E92">
        <f ca="1">IF(ISBLANK(A92), "", IF(SUMIFS('Annotated Papers'!G:G, 'Annotated Papers'!A:A,A92)&gt;0,1,0))</f>
        <v>0</v>
      </c>
      <c r="F92">
        <f ca="1">IF(ISBLANK(A92), "", IF(SUMIFS('Annotated Papers'!H:H, 'Annotated Papers'!A:A,A92)&gt;0,1,0))</f>
        <v>1</v>
      </c>
      <c r="G92" t="e">
        <f ca="1">IF(ISBLANK(A92), "", IF(SUMIFS('Annotated Papers'!I:I, 'Annotated Papers'!A:A,A92)&gt;0,1,0))</f>
        <v>#NAME?</v>
      </c>
      <c r="H92">
        <f ca="1">IF(ISBLANK(A92), "", IF(SUMIFS('Annotated Papers'!L:L, 'Annotated Papers'!A:A,A92)&gt;0,1,0))</f>
        <v>0</v>
      </c>
    </row>
    <row r="93" spans="1:8" ht="14">
      <c r="A93" s="26" t="str">
        <f ca="1">IFERROR(__xludf.DUMMYFUNCTION("""COMPUTED_VALUE"""),"Synthetic Sampling for Multi-Class Malignancy Prediction")</f>
        <v>Synthetic Sampling for Multi-Class Malignancy Prediction</v>
      </c>
      <c r="B93" t="str">
        <f ca="1">IF(ISBLANK(A93), "", VLOOKUP(A93,'Annotated Papers'!92:1131,2,FALSE))</f>
        <v>ML4H</v>
      </c>
      <c r="C93" s="24">
        <f ca="1">IF(ISBLANK(A93), "", VLOOKUP(A93,'Annotated Papers'!92:1131,5,FALSE))</f>
        <v>0</v>
      </c>
      <c r="D93">
        <f ca="1">IF(ISBLANK(A93), "", IF(COUNTIF('Annotated Papers'!A:A,A93)&gt;1,1,0))</f>
        <v>0</v>
      </c>
      <c r="E93">
        <f ca="1">IF(ISBLANK(A93), "", IF(SUMIFS('Annotated Papers'!G:G, 'Annotated Papers'!A:A,A93)&gt;0,1,0))</f>
        <v>0</v>
      </c>
      <c r="F93">
        <f ca="1">IF(ISBLANK(A93), "", IF(SUMIFS('Annotated Papers'!H:H, 'Annotated Papers'!A:A,A93)&gt;0,1,0))</f>
        <v>1</v>
      </c>
      <c r="G93" t="e">
        <f ca="1">IF(ISBLANK(A93), "", IF(SUMIFS('Annotated Papers'!I:I, 'Annotated Papers'!A:A,A93)&gt;0,1,0))</f>
        <v>#NAME?</v>
      </c>
      <c r="H93">
        <f ca="1">IF(ISBLANK(A93), "", IF(SUMIFS('Annotated Papers'!L:L, 'Annotated Papers'!A:A,A93)&gt;0,1,0))</f>
        <v>0</v>
      </c>
    </row>
    <row r="94" spans="1:8" ht="14">
      <c r="A94" s="26" t="str">
        <f ca="1">IFERROR(__xludf.DUMMYFUNCTION("""COMPUTED_VALUE"""),"PGLasso: Microbial Community Detection through Phylogenetic Graphical Lasso")</f>
        <v>PGLasso: Microbial Community Detection through Phylogenetic Graphical Lasso</v>
      </c>
      <c r="B94" t="str">
        <f ca="1">IF(ISBLANK(A94), "", VLOOKUP(A94,'Annotated Papers'!93:1132,2,FALSE))</f>
        <v>ML4H</v>
      </c>
      <c r="C94" s="24">
        <f ca="1">IF(ISBLANK(A94), "", VLOOKUP(A94,'Annotated Papers'!93:1132,5,FALSE))</f>
        <v>0</v>
      </c>
      <c r="D94">
        <f ca="1">IF(ISBLANK(A94), "", IF(COUNTIF('Annotated Papers'!A:A,A94)&gt;1,1,0))</f>
        <v>0</v>
      </c>
      <c r="E94">
        <f ca="1">IF(ISBLANK(A94), "", IF(SUMIFS('Annotated Papers'!G:G, 'Annotated Papers'!A:A,A94)&gt;0,1,0))</f>
        <v>0</v>
      </c>
      <c r="F94">
        <f ca="1">IF(ISBLANK(A94), "", IF(SUMIFS('Annotated Papers'!H:H, 'Annotated Papers'!A:A,A94)&gt;0,1,0))</f>
        <v>1</v>
      </c>
      <c r="G94" t="e">
        <f ca="1">IF(ISBLANK(A94), "", IF(SUMIFS('Annotated Papers'!I:I, 'Annotated Papers'!A:A,A94)&gt;0,1,0))</f>
        <v>#NAME?</v>
      </c>
      <c r="H94">
        <f ca="1">IF(ISBLANK(A94), "", IF(SUMIFS('Annotated Papers'!L:L, 'Annotated Papers'!A:A,A94)&gt;0,1,0))</f>
        <v>1</v>
      </c>
    </row>
    <row r="95" spans="1:8" ht="14">
      <c r="A95" s="26" t="str">
        <f ca="1">IFERROR(__xludf.DUMMYFUNCTION("""COMPUTED_VALUE"""),"Murmur Detection Using Parallel Recurrent &amp; Convolutional Neural Networks")</f>
        <v>Murmur Detection Using Parallel Recurrent &amp; Convolutional Neural Networks</v>
      </c>
      <c r="B95" t="str">
        <f ca="1">IF(ISBLANK(A95), "", VLOOKUP(A95,'Annotated Papers'!94:1133,2,FALSE))</f>
        <v>ML4H</v>
      </c>
      <c r="C95" s="24">
        <f ca="1">IF(ISBLANK(A95), "", VLOOKUP(A95,'Annotated Papers'!94:1133,5,FALSE))</f>
        <v>0</v>
      </c>
      <c r="D95">
        <f ca="1">IF(ISBLANK(A95), "", IF(COUNTIF('Annotated Papers'!A:A,A95)&gt;1,1,0))</f>
        <v>1</v>
      </c>
      <c r="E95">
        <f ca="1">IF(ISBLANK(A95), "", IF(SUMIFS('Annotated Papers'!G:G, 'Annotated Papers'!A:A,A95)&gt;0,1,0))</f>
        <v>0</v>
      </c>
      <c r="F95">
        <f ca="1">IF(ISBLANK(A95), "", IF(SUMIFS('Annotated Papers'!H:H, 'Annotated Papers'!A:A,A95)&gt;0,1,0))</f>
        <v>1</v>
      </c>
      <c r="G95" t="e">
        <f ca="1">IF(ISBLANK(A95), "", IF(SUMIFS('Annotated Papers'!I:I, 'Annotated Papers'!A:A,A95)&gt;0,1,0))</f>
        <v>#NAME?</v>
      </c>
      <c r="H95">
        <f ca="1">IF(ISBLANK(A95), "", IF(SUMIFS('Annotated Papers'!L:L, 'Annotated Papers'!A:A,A95)&gt;0,1,0))</f>
        <v>1</v>
      </c>
    </row>
    <row r="96" spans="1:8" ht="14">
      <c r="A96" s="26" t="str">
        <f ca="1">IFERROR(__xludf.DUMMYFUNCTION("""COMPUTED_VALUE"""),"From Text to Topics in Healthcare Records: An Unsupervised Graph Partitioning Methodology")</f>
        <v>From Text to Topics in Healthcare Records: An Unsupervised Graph Partitioning Methodology</v>
      </c>
      <c r="B96" t="str">
        <f ca="1">IF(ISBLANK(A96), "", VLOOKUP(A96,'Annotated Papers'!95:1134,2,FALSE))</f>
        <v>ML4H</v>
      </c>
      <c r="C96" s="24">
        <f ca="1">IF(ISBLANK(A96), "", VLOOKUP(A96,'Annotated Papers'!95:1134,5,FALSE))</f>
        <v>0</v>
      </c>
      <c r="D96">
        <f ca="1">IF(ISBLANK(A96), "", IF(COUNTIF('Annotated Papers'!A:A,A96)&gt;1,1,0))</f>
        <v>0</v>
      </c>
      <c r="E96">
        <f ca="1">IF(ISBLANK(A96), "", IF(SUMIFS('Annotated Papers'!G:G, 'Annotated Papers'!A:A,A96)&gt;0,1,0))</f>
        <v>0</v>
      </c>
      <c r="F96">
        <f ca="1">IF(ISBLANK(A96), "", IF(SUMIFS('Annotated Papers'!H:H, 'Annotated Papers'!A:A,A96)&gt;0,1,0))</f>
        <v>1</v>
      </c>
      <c r="G96" t="e">
        <f ca="1">IF(ISBLANK(A96), "", IF(SUMIFS('Annotated Papers'!I:I, 'Annotated Papers'!A:A,A96)&gt;0,1,0))</f>
        <v>#NAME?</v>
      </c>
      <c r="H96">
        <f ca="1">IF(ISBLANK(A96), "", IF(SUMIFS('Annotated Papers'!L:L, 'Annotated Papers'!A:A,A96)&gt;0,1,0))</f>
        <v>0</v>
      </c>
    </row>
    <row r="97" spans="1:8" ht="14">
      <c r="A97" s="25" t="str">
        <f ca="1">IFERROR(__xludf.DUMMYFUNCTION("""COMPUTED_VALUE"""),"Measuring Depression Symptom Severity from Spoken Language and 3D Facial Expressions")</f>
        <v>Measuring Depression Symptom Severity from Spoken Language and 3D Facial Expressions</v>
      </c>
      <c r="B97" t="str">
        <f ca="1">IF(ISBLANK(A97), "", VLOOKUP(A97,'Annotated Papers'!96:1135,2,FALSE))</f>
        <v>ML4H</v>
      </c>
      <c r="C97" s="24">
        <f ca="1">IF(ISBLANK(A97), "", VLOOKUP(A97,'Annotated Papers'!96:1135,5,FALSE))</f>
        <v>0</v>
      </c>
      <c r="D97">
        <f ca="1">IF(ISBLANK(A97), "", IF(COUNTIF('Annotated Papers'!A:A,A97)&gt;1,1,0))</f>
        <v>0</v>
      </c>
      <c r="E97">
        <f ca="1">IF(ISBLANK(A97), "", IF(SUMIFS('Annotated Papers'!G:G, 'Annotated Papers'!A:A,A97)&gt;0,1,0))</f>
        <v>1</v>
      </c>
      <c r="F97">
        <f ca="1">IF(ISBLANK(A97), "", IF(SUMIFS('Annotated Papers'!H:H, 'Annotated Papers'!A:A,A97)&gt;0,1,0))</f>
        <v>1</v>
      </c>
      <c r="G97" t="e">
        <f ca="1">IF(ISBLANK(A97), "", IF(SUMIFS('Annotated Papers'!I:I, 'Annotated Papers'!A:A,A97)&gt;0,1,0))</f>
        <v>#NAME?</v>
      </c>
      <c r="H97">
        <f ca="1">IF(ISBLANK(A97), "", IF(SUMIFS('Annotated Papers'!L:L, 'Annotated Papers'!A:A,A97)&gt;0,1,0))</f>
        <v>0</v>
      </c>
    </row>
    <row r="98" spans="1:8" ht="14">
      <c r="A98" s="25" t="str">
        <f ca="1">IFERROR(__xludf.DUMMYFUNCTION("""COMPUTED_VALUE"""),"What is Interpretable? Using Machine Learning to Design Interpretable Decision-Support Systems")</f>
        <v>What is Interpretable? Using Machine Learning to Design Interpretable Decision-Support Systems</v>
      </c>
      <c r="B98" t="str">
        <f ca="1">IF(ISBLANK(A98), "", VLOOKUP(A98,'Annotated Papers'!97:1136,2,FALSE))</f>
        <v>ML4H</v>
      </c>
      <c r="C98" s="24">
        <f ca="1">IF(ISBLANK(A98), "", VLOOKUP(A98,'Annotated Papers'!97:1136,5,FALSE))</f>
        <v>0</v>
      </c>
      <c r="D98">
        <f ca="1">IF(ISBLANK(A98), "", IF(COUNTIF('Annotated Papers'!A:A,A98)&gt;1,1,0))</f>
        <v>0</v>
      </c>
      <c r="E98">
        <f ca="1">IF(ISBLANK(A98), "", IF(SUMIFS('Annotated Papers'!G:G, 'Annotated Papers'!A:A,A98)&gt;0,1,0))</f>
        <v>0</v>
      </c>
      <c r="F98">
        <f ca="1">IF(ISBLANK(A98), "", IF(SUMIFS('Annotated Papers'!H:H, 'Annotated Papers'!A:A,A98)&gt;0,1,0))</f>
        <v>0</v>
      </c>
      <c r="G98">
        <f ca="1">IF(ISBLANK(A98), "", IF(SUMIFS('Annotated Papers'!I:I, 'Annotated Papers'!A:A,A98)&gt;0,1,0))</f>
        <v>0</v>
      </c>
      <c r="H98">
        <f ca="1">IF(ISBLANK(A98), "", IF(SUMIFS('Annotated Papers'!L:L, 'Annotated Papers'!A:A,A98)&gt;0,1,0))</f>
        <v>0</v>
      </c>
    </row>
    <row r="99" spans="1:8" ht="14">
      <c r="A99" s="25" t="str">
        <f ca="1">IFERROR(__xludf.DUMMYFUNCTION("""COMPUTED_VALUE"""),"Natural language understanding for task oriented dialog in the biomedical domain in a low resources context")</f>
        <v>Natural language understanding for task oriented dialog in the biomedical domain in a low resources context</v>
      </c>
      <c r="B99" t="str">
        <f ca="1">IF(ISBLANK(A99), "", VLOOKUP(A99,'Annotated Papers'!98:1137,2,FALSE))</f>
        <v>ML4H</v>
      </c>
      <c r="C99" s="24">
        <f ca="1">IF(ISBLANK(A99), "", VLOOKUP(A99,'Annotated Papers'!98:1137,5,FALSE))</f>
        <v>0</v>
      </c>
      <c r="D99">
        <f ca="1">IF(ISBLANK(A99), "", IF(COUNTIF('Annotated Papers'!A:A,A99)&gt;1,1,0))</f>
        <v>0</v>
      </c>
      <c r="E99">
        <f ca="1">IF(ISBLANK(A99), "", IF(SUMIFS('Annotated Papers'!G:G, 'Annotated Papers'!A:A,A99)&gt;0,1,0))</f>
        <v>1</v>
      </c>
      <c r="F99">
        <f ca="1">IF(ISBLANK(A99), "", IF(SUMIFS('Annotated Papers'!H:H, 'Annotated Papers'!A:A,A99)&gt;0,1,0))</f>
        <v>0</v>
      </c>
      <c r="G99" t="e">
        <f ca="1">IF(ISBLANK(A99), "", IF(SUMIFS('Annotated Papers'!I:I, 'Annotated Papers'!A:A,A99)&gt;0,1,0))</f>
        <v>#NAME?</v>
      </c>
      <c r="H99">
        <f ca="1">IF(ISBLANK(A99), "", IF(SUMIFS('Annotated Papers'!L:L, 'Annotated Papers'!A:A,A99)&gt;0,1,0))</f>
        <v>1</v>
      </c>
    </row>
    <row r="100" spans="1:8" ht="14">
      <c r="A100" s="25" t="str">
        <f ca="1">IFERROR(__xludf.DUMMYFUNCTION("""COMPUTED_VALUE"""),"Clinical Concept Extraction with Contextual Word Embedding")</f>
        <v>Clinical Concept Extraction with Contextual Word Embedding</v>
      </c>
      <c r="B100" t="str">
        <f ca="1">IF(ISBLANK(A100), "", VLOOKUP(A100,'Annotated Papers'!99:1138,2,FALSE))</f>
        <v>ML4H</v>
      </c>
      <c r="C100" s="24">
        <f ca="1">IF(ISBLANK(A100), "", VLOOKUP(A100,'Annotated Papers'!99:1138,5,FALSE))</f>
        <v>1</v>
      </c>
      <c r="D100">
        <f ca="1">IF(ISBLANK(A100), "", IF(COUNTIF('Annotated Papers'!A:A,A100)&gt;1,1,0))</f>
        <v>0</v>
      </c>
      <c r="E100">
        <f ca="1">IF(ISBLANK(A100), "", IF(SUMIFS('Annotated Papers'!G:G, 'Annotated Papers'!A:A,A100)&gt;0,1,0))</f>
        <v>0</v>
      </c>
      <c r="F100">
        <f ca="1">IF(ISBLANK(A100), "", IF(SUMIFS('Annotated Papers'!H:H, 'Annotated Papers'!A:A,A100)&gt;0,1,0))</f>
        <v>1</v>
      </c>
      <c r="G100" t="e">
        <f ca="1">IF(ISBLANK(A100), "", IF(SUMIFS('Annotated Papers'!I:I, 'Annotated Papers'!A:A,A100)&gt;0,1,0))</f>
        <v>#NAME?</v>
      </c>
      <c r="H100">
        <f ca="1">IF(ISBLANK(A100), "", IF(SUMIFS('Annotated Papers'!L:L, 'Annotated Papers'!A:A,A100)&gt;0,1,0))</f>
        <v>1</v>
      </c>
    </row>
    <row r="101" spans="1:8" ht="14">
      <c r="A101" s="25" t="str">
        <f ca="1">IFERROR(__xludf.DUMMYFUNCTION("""COMPUTED_VALUE"""),"MATCH-Net: Dynamic Prediction in Survival Analysis using Convolutional Neural Networks")</f>
        <v>MATCH-Net: Dynamic Prediction in Survival Analysis using Convolutional Neural Networks</v>
      </c>
      <c r="B101" t="str">
        <f ca="1">IF(ISBLANK(A101), "", VLOOKUP(A101,'Annotated Papers'!100:1139,2,FALSE))</f>
        <v>ML4H</v>
      </c>
      <c r="C101" s="24">
        <f ca="1">IF(ISBLANK(A101), "", VLOOKUP(A101,'Annotated Papers'!100:1139,5,FALSE))</f>
        <v>0</v>
      </c>
      <c r="D101">
        <f ca="1">IF(ISBLANK(A101), "", IF(COUNTIF('Annotated Papers'!A:A,A101)&gt;1,1,0))</f>
        <v>0</v>
      </c>
      <c r="E101">
        <f ca="1">IF(ISBLANK(A101), "", IF(SUMIFS('Annotated Papers'!G:G, 'Annotated Papers'!A:A,A101)&gt;0,1,0))</f>
        <v>1</v>
      </c>
      <c r="F101">
        <f ca="1">IF(ISBLANK(A101), "", IF(SUMIFS('Annotated Papers'!H:H, 'Annotated Papers'!A:A,A101)&gt;0,1,0))</f>
        <v>1</v>
      </c>
      <c r="G101" t="e">
        <f ca="1">IF(ISBLANK(A101), "", IF(SUMIFS('Annotated Papers'!I:I, 'Annotated Papers'!A:A,A101)&gt;0,1,0))</f>
        <v>#NAME?</v>
      </c>
      <c r="H101">
        <f ca="1">IF(ISBLANK(A101), "", IF(SUMIFS('Annotated Papers'!L:L, 'Annotated Papers'!A:A,A101)&gt;0,1,0))</f>
        <v>0</v>
      </c>
    </row>
    <row r="102" spans="1:8" ht="14">
      <c r="A102" s="25" t="str">
        <f ca="1">IFERROR(__xludf.DUMMYFUNCTION("""COMPUTED_VALUE"""),"Disease phenotyping using deep learning: A diabetes case study")</f>
        <v>Disease phenotyping using deep learning: A diabetes case study</v>
      </c>
      <c r="B102" t="str">
        <f ca="1">IF(ISBLANK(A102), "", VLOOKUP(A102,'Annotated Papers'!101:1140,2,FALSE))</f>
        <v>ML4H</v>
      </c>
      <c r="C102" s="24">
        <f ca="1">IF(ISBLANK(A102), "", VLOOKUP(A102,'Annotated Papers'!101:1140,5,FALSE))</f>
        <v>0</v>
      </c>
      <c r="D102">
        <f ca="1">IF(ISBLANK(A102), "", IF(COUNTIF('Annotated Papers'!A:A,A102)&gt;1,1,0))</f>
        <v>0</v>
      </c>
      <c r="E102">
        <f ca="1">IF(ISBLANK(A102), "", IF(SUMIFS('Annotated Papers'!G:G, 'Annotated Papers'!A:A,A102)&gt;0,1,0))</f>
        <v>1</v>
      </c>
      <c r="F102">
        <f ca="1">IF(ISBLANK(A102), "", IF(SUMIFS('Annotated Papers'!H:H, 'Annotated Papers'!A:A,A102)&gt;0,1,0))</f>
        <v>0</v>
      </c>
      <c r="G102" t="e">
        <f ca="1">IF(ISBLANK(A102), "", IF(SUMIFS('Annotated Papers'!I:I, 'Annotated Papers'!A:A,A102)&gt;0,1,0))</f>
        <v>#NAME?</v>
      </c>
      <c r="H102">
        <f ca="1">IF(ISBLANK(A102), "", IF(SUMIFS('Annotated Papers'!L:L, 'Annotated Papers'!A:A,A102)&gt;0,1,0))</f>
        <v>0</v>
      </c>
    </row>
    <row r="103" spans="1:8" ht="14">
      <c r="A103" s="25" t="str">
        <f ca="1">IFERROR(__xludf.DUMMYFUNCTION("""COMPUTED_VALUE"""),"Glottal Closure Instants Detection From Pathological Acoustic Speech Signal Using Deep Learning")</f>
        <v>Glottal Closure Instants Detection From Pathological Acoustic Speech Signal Using Deep Learning</v>
      </c>
      <c r="B103" t="str">
        <f ca="1">IF(ISBLANK(A103), "", VLOOKUP(A103,'Annotated Papers'!102:1141,2,FALSE))</f>
        <v>ML4H</v>
      </c>
      <c r="C103" s="24">
        <f ca="1">IF(ISBLANK(A103), "", VLOOKUP(A103,'Annotated Papers'!102:1141,5,FALSE))</f>
        <v>0</v>
      </c>
      <c r="D103">
        <f ca="1">IF(ISBLANK(A103), "", IF(COUNTIF('Annotated Papers'!A:A,A103)&gt;1,1,0))</f>
        <v>0</v>
      </c>
      <c r="E103">
        <f ca="1">IF(ISBLANK(A103), "", IF(SUMIFS('Annotated Papers'!G:G, 'Annotated Papers'!A:A,A103)&gt;0,1,0))</f>
        <v>1</v>
      </c>
      <c r="F103">
        <f ca="1">IF(ISBLANK(A103), "", IF(SUMIFS('Annotated Papers'!H:H, 'Annotated Papers'!A:A,A103)&gt;0,1,0))</f>
        <v>0</v>
      </c>
      <c r="G103">
        <f ca="1">IF(ISBLANK(A103), "", IF(SUMIFS('Annotated Papers'!I:I, 'Annotated Papers'!A:A,A103)&gt;0,1,0))</f>
        <v>0</v>
      </c>
      <c r="H103">
        <f ca="1">IF(ISBLANK(A103), "", IF(SUMIFS('Annotated Papers'!L:L, 'Annotated Papers'!A:A,A103)&gt;0,1,0))</f>
        <v>0</v>
      </c>
    </row>
    <row r="104" spans="1:8" ht="14">
      <c r="A104" s="25" t="str">
        <f ca="1">IFERROR(__xludf.DUMMYFUNCTION("""COMPUTED_VALUE"""),"Model-Based Reinforcement Learning for Sepsis Treatment")</f>
        <v>Model-Based Reinforcement Learning for Sepsis Treatment</v>
      </c>
      <c r="B104" t="str">
        <f ca="1">IF(ISBLANK(A104), "", VLOOKUP(A104,'Annotated Papers'!103:1142,2,FALSE))</f>
        <v>ML4H</v>
      </c>
      <c r="C104" s="24">
        <f ca="1">IF(ISBLANK(A104), "", VLOOKUP(A104,'Annotated Papers'!103:1142,5,FALSE))</f>
        <v>0</v>
      </c>
      <c r="D104">
        <f ca="1">IF(ISBLANK(A104), "", IF(COUNTIF('Annotated Papers'!A:A,A104)&gt;1,1,0))</f>
        <v>0</v>
      </c>
      <c r="E104">
        <f ca="1">IF(ISBLANK(A104), "", IF(SUMIFS('Annotated Papers'!G:G, 'Annotated Papers'!A:A,A104)&gt;0,1,0))</f>
        <v>1</v>
      </c>
      <c r="F104">
        <f ca="1">IF(ISBLANK(A104), "", IF(SUMIFS('Annotated Papers'!H:H, 'Annotated Papers'!A:A,A104)&gt;0,1,0))</f>
        <v>1</v>
      </c>
      <c r="G104" t="e">
        <f ca="1">IF(ISBLANK(A104), "", IF(SUMIFS('Annotated Papers'!I:I, 'Annotated Papers'!A:A,A104)&gt;0,1,0))</f>
        <v>#NAME?</v>
      </c>
      <c r="H104">
        <f ca="1">IF(ISBLANK(A104), "", IF(SUMIFS('Annotated Papers'!L:L, 'Annotated Papers'!A:A,A104)&gt;0,1,0))</f>
        <v>0</v>
      </c>
    </row>
    <row r="105" spans="1:8" ht="14">
      <c r="A105" s="25" t="str">
        <f ca="1">IFERROR(__xludf.DUMMYFUNCTION("""COMPUTED_VALUE"""),"Patchnet: Interpretable Neural Networks for Image Classification")</f>
        <v>Patchnet: Interpretable Neural Networks for Image Classification</v>
      </c>
      <c r="B105" t="str">
        <f ca="1">IF(ISBLANK(A105), "", VLOOKUP(A105,'Annotated Papers'!104:1143,2,FALSE))</f>
        <v>ML4H</v>
      </c>
      <c r="C105" s="24">
        <f ca="1">IF(ISBLANK(A105), "", VLOOKUP(A105,'Annotated Papers'!104:1143,5,FALSE))</f>
        <v>0</v>
      </c>
      <c r="D105">
        <f ca="1">IF(ISBLANK(A105), "", IF(COUNTIF('Annotated Papers'!A:A,A105)&gt;1,1,0))</f>
        <v>0</v>
      </c>
      <c r="E105">
        <f ca="1">IF(ISBLANK(A105), "", IF(SUMIFS('Annotated Papers'!G:G, 'Annotated Papers'!A:A,A105)&gt;0,1,0))</f>
        <v>1</v>
      </c>
      <c r="F105">
        <f ca="1">IF(ISBLANK(A105), "", IF(SUMIFS('Annotated Papers'!H:H, 'Annotated Papers'!A:A,A105)&gt;0,1,0))</f>
        <v>1</v>
      </c>
      <c r="G105" t="e">
        <f ca="1">IF(ISBLANK(A105), "", IF(SUMIFS('Annotated Papers'!I:I, 'Annotated Papers'!A:A,A105)&gt;0,1,0))</f>
        <v>#NAME?</v>
      </c>
      <c r="H105">
        <f ca="1">IF(ISBLANK(A105), "", IF(SUMIFS('Annotated Papers'!L:L, 'Annotated Papers'!A:A,A105)&gt;0,1,0))</f>
        <v>0</v>
      </c>
    </row>
    <row r="106" spans="1:8" ht="14">
      <c r="A106" s="25" t="str">
        <f ca="1">IFERROR(__xludf.DUMMYFUNCTION("""COMPUTED_VALUE"""),"Large-scale Generative Modeling to Improve Automated Veterinary Disease Coding")</f>
        <v>Large-scale Generative Modeling to Improve Automated Veterinary Disease Coding</v>
      </c>
      <c r="B106" t="str">
        <f ca="1">IF(ISBLANK(A106), "", VLOOKUP(A106,'Annotated Papers'!105:1144,2,FALSE))</f>
        <v>ML4H</v>
      </c>
      <c r="C106" s="24">
        <f ca="1">IF(ISBLANK(A106), "", VLOOKUP(A106,'Annotated Papers'!105:1144,5,FALSE))</f>
        <v>0</v>
      </c>
      <c r="D106">
        <f ca="1">IF(ISBLANK(A106), "", IF(COUNTIF('Annotated Papers'!A:A,A106)&gt;1,1,0))</f>
        <v>0</v>
      </c>
      <c r="E106">
        <f ca="1">IF(ISBLANK(A106), "", IF(SUMIFS('Annotated Papers'!G:G, 'Annotated Papers'!A:A,A106)&gt;0,1,0))</f>
        <v>1</v>
      </c>
      <c r="F106">
        <f ca="1">IF(ISBLANK(A106), "", IF(SUMIFS('Annotated Papers'!H:H, 'Annotated Papers'!A:A,A106)&gt;0,1,0))</f>
        <v>0</v>
      </c>
      <c r="G106" t="e">
        <f ca="1">IF(ISBLANK(A106), "", IF(SUMIFS('Annotated Papers'!I:I, 'Annotated Papers'!A:A,A106)&gt;0,1,0))</f>
        <v>#NAME?</v>
      </c>
      <c r="H106">
        <f ca="1">IF(ISBLANK(A106), "", IF(SUMIFS('Annotated Papers'!L:L, 'Annotated Papers'!A:A,A106)&gt;0,1,0))</f>
        <v>0</v>
      </c>
    </row>
    <row r="107" spans="1:8" ht="14">
      <c r="A107" s="25" t="str">
        <f ca="1">IFERROR(__xludf.DUMMYFUNCTION("""COMPUTED_VALUE"""),"Group induced graphical lasso allows for discovery of molecular pathways-pathways interactions")</f>
        <v>Group induced graphical lasso allows for discovery of molecular pathways-pathways interactions</v>
      </c>
      <c r="B107" t="str">
        <f ca="1">IF(ISBLANK(A107), "", VLOOKUP(A107,'Annotated Papers'!106:1145,2,FALSE))</f>
        <v>ML4H</v>
      </c>
      <c r="C107" s="24">
        <f ca="1">IF(ISBLANK(A107), "", VLOOKUP(A107,'Annotated Papers'!106:1145,5,FALSE))</f>
        <v>0</v>
      </c>
      <c r="D107">
        <f ca="1">IF(ISBLANK(A107), "", IF(COUNTIF('Annotated Papers'!A:A,A107)&gt;1,1,0))</f>
        <v>0</v>
      </c>
      <c r="E107">
        <f ca="1">IF(ISBLANK(A107), "", IF(SUMIFS('Annotated Papers'!G:G, 'Annotated Papers'!A:A,A107)&gt;0,1,0))</f>
        <v>1</v>
      </c>
      <c r="F107">
        <f ca="1">IF(ISBLANK(A107), "", IF(SUMIFS('Annotated Papers'!H:H, 'Annotated Papers'!A:A,A107)&gt;0,1,0))</f>
        <v>1</v>
      </c>
      <c r="G107" t="e">
        <f ca="1">IF(ISBLANK(A107), "", IF(SUMIFS('Annotated Papers'!I:I, 'Annotated Papers'!A:A,A107)&gt;0,1,0))</f>
        <v>#NAME?</v>
      </c>
      <c r="H107">
        <f ca="1">IF(ISBLANK(A107), "", IF(SUMIFS('Annotated Papers'!L:L, 'Annotated Papers'!A:A,A107)&gt;0,1,0))</f>
        <v>0</v>
      </c>
    </row>
    <row r="108" spans="1:8" ht="14">
      <c r="A108" s="25" t="str">
        <f ca="1">IFERROR(__xludf.DUMMYFUNCTION("""COMPUTED_VALUE"""),"A Framework for Implementing Machine Learning on Omics Data")</f>
        <v>A Framework for Implementing Machine Learning on Omics Data</v>
      </c>
      <c r="B108" t="str">
        <f ca="1">IF(ISBLANK(A108), "", VLOOKUP(A108,'Annotated Papers'!107:1146,2,FALSE))</f>
        <v>ML4H</v>
      </c>
      <c r="C108" s="24">
        <f ca="1">IF(ISBLANK(A108), "", VLOOKUP(A108,'Annotated Papers'!107:1146,5,FALSE))</f>
        <v>1</v>
      </c>
      <c r="D108">
        <f ca="1">IF(ISBLANK(A108), "", IF(COUNTIF('Annotated Papers'!A:A,A108)&gt;1,1,0))</f>
        <v>1</v>
      </c>
      <c r="E108">
        <f ca="1">IF(ISBLANK(A108), "", IF(SUMIFS('Annotated Papers'!G:G, 'Annotated Papers'!A:A,A108)&gt;0,1,0))</f>
        <v>0</v>
      </c>
      <c r="F108">
        <f ca="1">IF(ISBLANK(A108), "", IF(SUMIFS('Annotated Papers'!H:H, 'Annotated Papers'!A:A,A108)&gt;0,1,0))</f>
        <v>1</v>
      </c>
      <c r="G108" t="e">
        <f ca="1">IF(ISBLANK(A108), "", IF(SUMIFS('Annotated Papers'!I:I, 'Annotated Papers'!A:A,A108)&gt;0,1,0))</f>
        <v>#NAME?</v>
      </c>
      <c r="H108">
        <f ca="1">IF(ISBLANK(A108), "", IF(SUMIFS('Annotated Papers'!L:L, 'Annotated Papers'!A:A,A108)&gt;0,1,0))</f>
        <v>0</v>
      </c>
    </row>
    <row r="109" spans="1:8" ht="14">
      <c r="A109" s="25" t="str">
        <f ca="1">IFERROR(__xludf.DUMMYFUNCTION("""COMPUTED_VALUE"""),"Population-aware Hierarchical Bayesian Domain Adaptation")</f>
        <v>Population-aware Hierarchical Bayesian Domain Adaptation</v>
      </c>
      <c r="B109" t="str">
        <f ca="1">IF(ISBLANK(A109), "", VLOOKUP(A109,'Annotated Papers'!108:1147,2,FALSE))</f>
        <v>ML4H</v>
      </c>
      <c r="C109" s="24">
        <f ca="1">IF(ISBLANK(A109), "", VLOOKUP(A109,'Annotated Papers'!108:1147,5,FALSE))</f>
        <v>0</v>
      </c>
      <c r="D109">
        <f ca="1">IF(ISBLANK(A109), "", IF(COUNTIF('Annotated Papers'!A:A,A109)&gt;1,1,0))</f>
        <v>1</v>
      </c>
      <c r="E109">
        <f ca="1">IF(ISBLANK(A109), "", IF(SUMIFS('Annotated Papers'!G:G, 'Annotated Papers'!A:A,A109)&gt;0,1,0))</f>
        <v>1</v>
      </c>
      <c r="F109">
        <f ca="1">IF(ISBLANK(A109), "", IF(SUMIFS('Annotated Papers'!H:H, 'Annotated Papers'!A:A,A109)&gt;0,1,0))</f>
        <v>0</v>
      </c>
      <c r="G109" t="e">
        <f ca="1">IF(ISBLANK(A109), "", IF(SUMIFS('Annotated Papers'!I:I, 'Annotated Papers'!A:A,A109)&gt;0,1,0))</f>
        <v>#NAME?</v>
      </c>
      <c r="H109">
        <f ca="1">IF(ISBLANK(A109), "", IF(SUMIFS('Annotated Papers'!L:L, 'Annotated Papers'!A:A,A109)&gt;0,1,0))</f>
        <v>0</v>
      </c>
    </row>
    <row r="110" spans="1:8" ht="14">
      <c r="A110" s="25" t="str">
        <f ca="1">IFERROR(__xludf.DUMMYFUNCTION("""COMPUTED_VALUE"""),"Modeling Irregularly Sampled Clinical Time Series")</f>
        <v>Modeling Irregularly Sampled Clinical Time Series</v>
      </c>
      <c r="B110" t="str">
        <f ca="1">IF(ISBLANK(A110), "", VLOOKUP(A110,'Annotated Papers'!109:1148,2,FALSE))</f>
        <v>ML4H</v>
      </c>
      <c r="C110" s="24">
        <f ca="1">IF(ISBLANK(A110), "", VLOOKUP(A110,'Annotated Papers'!109:1148,5,FALSE))</f>
        <v>0</v>
      </c>
      <c r="D110">
        <f ca="1">IF(ISBLANK(A110), "", IF(COUNTIF('Annotated Papers'!A:A,A110)&gt;1,1,0))</f>
        <v>0</v>
      </c>
      <c r="E110">
        <f ca="1">IF(ISBLANK(A110), "", IF(SUMIFS('Annotated Papers'!G:G, 'Annotated Papers'!A:A,A110)&gt;0,1,0))</f>
        <v>1</v>
      </c>
      <c r="F110">
        <f ca="1">IF(ISBLANK(A110), "", IF(SUMIFS('Annotated Papers'!H:H, 'Annotated Papers'!A:A,A110)&gt;0,1,0))</f>
        <v>1</v>
      </c>
      <c r="G110" t="e">
        <f ca="1">IF(ISBLANK(A110), "", IF(SUMIFS('Annotated Papers'!I:I, 'Annotated Papers'!A:A,A110)&gt;0,1,0))</f>
        <v>#NAME?</v>
      </c>
      <c r="H110">
        <f ca="1">IF(ISBLANK(A110), "", IF(SUMIFS('Annotated Papers'!L:L, 'Annotated Papers'!A:A,A110)&gt;0,1,0))</f>
        <v>1</v>
      </c>
    </row>
    <row r="111" spans="1:8" ht="14">
      <c r="A111" s="25" t="str">
        <f ca="1">IFERROR(__xludf.DUMMYFUNCTION("""COMPUTED_VALUE"""),"Dynamic Measurement Scheduling for Adverse Event Forecasting using Deep RL")</f>
        <v>Dynamic Measurement Scheduling for Adverse Event Forecasting using Deep RL</v>
      </c>
      <c r="B111" t="str">
        <f ca="1">IF(ISBLANK(A111), "", VLOOKUP(A111,'Annotated Papers'!110:1149,2,FALSE))</f>
        <v>ML4H</v>
      </c>
      <c r="C111" s="24">
        <f ca="1">IF(ISBLANK(A111), "", VLOOKUP(A111,'Annotated Papers'!110:1149,5,FALSE))</f>
        <v>0</v>
      </c>
      <c r="D111">
        <f ca="1">IF(ISBLANK(A111), "", IF(COUNTIF('Annotated Papers'!A:A,A111)&gt;1,1,0))</f>
        <v>0</v>
      </c>
      <c r="E111">
        <f ca="1">IF(ISBLANK(A111), "", IF(SUMIFS('Annotated Papers'!G:G, 'Annotated Papers'!A:A,A111)&gt;0,1,0))</f>
        <v>1</v>
      </c>
      <c r="F111">
        <f ca="1">IF(ISBLANK(A111), "", IF(SUMIFS('Annotated Papers'!H:H, 'Annotated Papers'!A:A,A111)&gt;0,1,0))</f>
        <v>1</v>
      </c>
      <c r="G111" t="e">
        <f ca="1">IF(ISBLANK(A111), "", IF(SUMIFS('Annotated Papers'!I:I, 'Annotated Papers'!A:A,A111)&gt;0,1,0))</f>
        <v>#NAME?</v>
      </c>
      <c r="H111">
        <f ca="1">IF(ISBLANK(A111), "", IF(SUMIFS('Annotated Papers'!L:L, 'Annotated Papers'!A:A,A111)&gt;0,1,0))</f>
        <v>0</v>
      </c>
    </row>
    <row r="112" spans="1:8" ht="14">
      <c r="A112" s="25" t="str">
        <f ca="1">IFERROR(__xludf.DUMMYFUNCTION("""COMPUTED_VALUE"""),"Privacy-Preserving Action Recognition for Smart Hospitals using Low-Resolution Depth Images")</f>
        <v>Privacy-Preserving Action Recognition for Smart Hospitals using Low-Resolution Depth Images</v>
      </c>
      <c r="B112" t="str">
        <f ca="1">IF(ISBLANK(A112), "", VLOOKUP(A112,'Annotated Papers'!111:1150,2,FALSE))</f>
        <v>ML4H</v>
      </c>
      <c r="C112" s="24">
        <f ca="1">IF(ISBLANK(A112), "", VLOOKUP(A112,'Annotated Papers'!111:1150,5,FALSE))</f>
        <v>0</v>
      </c>
      <c r="D112">
        <f ca="1">IF(ISBLANK(A112), "", IF(COUNTIF('Annotated Papers'!A:A,A112)&gt;1,1,0))</f>
        <v>0</v>
      </c>
      <c r="E112">
        <f ca="1">IF(ISBLANK(A112), "", IF(SUMIFS('Annotated Papers'!G:G, 'Annotated Papers'!A:A,A112)&gt;0,1,0))</f>
        <v>1</v>
      </c>
      <c r="F112">
        <f ca="1">IF(ISBLANK(A112), "", IF(SUMIFS('Annotated Papers'!H:H, 'Annotated Papers'!A:A,A112)&gt;0,1,0))</f>
        <v>0</v>
      </c>
      <c r="G112" t="e">
        <f ca="1">IF(ISBLANK(A112), "", IF(SUMIFS('Annotated Papers'!I:I, 'Annotated Papers'!A:A,A112)&gt;0,1,0))</f>
        <v>#NAME?</v>
      </c>
      <c r="H112">
        <f ca="1">IF(ISBLANK(A112), "", IF(SUMIFS('Annotated Papers'!L:L, 'Annotated Papers'!A:A,A112)&gt;0,1,0))</f>
        <v>0</v>
      </c>
    </row>
    <row r="113" spans="1:8" ht="14">
      <c r="A113" s="25" t="str">
        <f ca="1">IFERROR(__xludf.DUMMYFUNCTION("""COMPUTED_VALUE"""),"Fast Learning-based Registration of Sparse Clinical Images")</f>
        <v>Fast Learning-based Registration of Sparse Clinical Images</v>
      </c>
      <c r="B113" t="str">
        <f ca="1">IF(ISBLANK(A113), "", VLOOKUP(A113,'Annotated Papers'!112:1151,2,FALSE))</f>
        <v>ML4H</v>
      </c>
      <c r="C113" s="24">
        <f ca="1">IF(ISBLANK(A113), "", VLOOKUP(A113,'Annotated Papers'!112:1151,5,FALSE))</f>
        <v>1</v>
      </c>
      <c r="D113">
        <f ca="1">IF(ISBLANK(A113), "", IF(COUNTIF('Annotated Papers'!A:A,A113)&gt;1,1,0))</f>
        <v>0</v>
      </c>
      <c r="E113">
        <f ca="1">IF(ISBLANK(A113), "", IF(SUMIFS('Annotated Papers'!G:G, 'Annotated Papers'!A:A,A113)&gt;0,1,0))</f>
        <v>1</v>
      </c>
      <c r="F113">
        <f ca="1">IF(ISBLANK(A113), "", IF(SUMIFS('Annotated Papers'!H:H, 'Annotated Papers'!A:A,A113)&gt;0,1,0))</f>
        <v>0</v>
      </c>
      <c r="G113" t="e">
        <f ca="1">IF(ISBLANK(A113), "", IF(SUMIFS('Annotated Papers'!I:I, 'Annotated Papers'!A:A,A113)&gt;0,1,0))</f>
        <v>#NAME?</v>
      </c>
      <c r="H113">
        <f ca="1">IF(ISBLANK(A113), "", IF(SUMIFS('Annotated Papers'!L:L, 'Annotated Papers'!A:A,A113)&gt;0,1,0))</f>
        <v>1</v>
      </c>
    </row>
    <row r="114" spans="1:8" ht="14">
      <c r="A114" s="25" t="str">
        <f ca="1">IFERROR(__xludf.DUMMYFUNCTION("""COMPUTED_VALUE"""),"Improving Clinical Predictions through Unsupervised Time Series Representation Learning")</f>
        <v>Improving Clinical Predictions through Unsupervised Time Series Representation Learning</v>
      </c>
      <c r="B114" t="str">
        <f ca="1">IF(ISBLANK(A114), "", VLOOKUP(A114,'Annotated Papers'!113:1152,2,FALSE))</f>
        <v>ML4H</v>
      </c>
      <c r="C114" s="24">
        <f ca="1">IF(ISBLANK(A114), "", VLOOKUP(A114,'Annotated Papers'!113:1152,5,FALSE))</f>
        <v>0</v>
      </c>
      <c r="D114">
        <f ca="1">IF(ISBLANK(A114), "", IF(COUNTIF('Annotated Papers'!A:A,A114)&gt;1,1,0))</f>
        <v>0</v>
      </c>
      <c r="E114">
        <f ca="1">IF(ISBLANK(A114), "", IF(SUMIFS('Annotated Papers'!G:G, 'Annotated Papers'!A:A,A114)&gt;0,1,0))</f>
        <v>1</v>
      </c>
      <c r="F114">
        <f ca="1">IF(ISBLANK(A114), "", IF(SUMIFS('Annotated Papers'!H:H, 'Annotated Papers'!A:A,A114)&gt;0,1,0))</f>
        <v>1</v>
      </c>
      <c r="G114" t="e">
        <f ca="1">IF(ISBLANK(A114), "", IF(SUMIFS('Annotated Papers'!I:I, 'Annotated Papers'!A:A,A114)&gt;0,1,0))</f>
        <v>#NAME?</v>
      </c>
      <c r="H114">
        <f ca="1">IF(ISBLANK(A114), "", IF(SUMIFS('Annotated Papers'!L:L, 'Annotated Papers'!A:A,A114)&gt;0,1,0))</f>
        <v>1</v>
      </c>
    </row>
    <row r="115" spans="1:8" ht="14">
      <c r="A115" s="25" t="str">
        <f ca="1">IFERROR(__xludf.DUMMYFUNCTION("""COMPUTED_VALUE"""),"Feature Selection Based on Unique Relevant Information for Health Data")</f>
        <v>Feature Selection Based on Unique Relevant Information for Health Data</v>
      </c>
      <c r="B115" t="str">
        <f ca="1">IF(ISBLANK(A115), "", VLOOKUP(A115,'Annotated Papers'!114:1153,2,FALSE))</f>
        <v>ML4H</v>
      </c>
      <c r="C115" s="24">
        <f ca="1">IF(ISBLANK(A115), "", VLOOKUP(A115,'Annotated Papers'!114:1153,5,FALSE))</f>
        <v>0</v>
      </c>
      <c r="D115">
        <f ca="1">IF(ISBLANK(A115), "", IF(COUNTIF('Annotated Papers'!A:A,A115)&gt;1,1,0))</f>
        <v>1</v>
      </c>
      <c r="E115">
        <f ca="1">IF(ISBLANK(A115), "", IF(SUMIFS('Annotated Papers'!G:G, 'Annotated Papers'!A:A,A115)&gt;0,1,0))</f>
        <v>1</v>
      </c>
      <c r="F115">
        <f ca="1">IF(ISBLANK(A115), "", IF(SUMIFS('Annotated Papers'!H:H, 'Annotated Papers'!A:A,A115)&gt;0,1,0))</f>
        <v>1</v>
      </c>
      <c r="G115" t="e">
        <f ca="1">IF(ISBLANK(A115), "", IF(SUMIFS('Annotated Papers'!I:I, 'Annotated Papers'!A:A,A115)&gt;0,1,0))</f>
        <v>#NAME?</v>
      </c>
      <c r="H115">
        <f ca="1">IF(ISBLANK(A115), "", IF(SUMIFS('Annotated Papers'!L:L, 'Annotated Papers'!A:A,A115)&gt;0,1,0))</f>
        <v>0</v>
      </c>
    </row>
    <row r="116" spans="1:8" ht="14">
      <c r="A116" s="25" t="str">
        <f ca="1">IFERROR(__xludf.DUMMYFUNCTION("""COMPUTED_VALUE"""),"A Hybrid Instance-based Transfer Learning Method")</f>
        <v>A Hybrid Instance-based Transfer Learning Method</v>
      </c>
      <c r="B116" t="str">
        <f ca="1">IF(ISBLANK(A116), "", VLOOKUP(A116,'Annotated Papers'!115:1154,2,FALSE))</f>
        <v>ML4H</v>
      </c>
      <c r="C116" s="24">
        <f ca="1">IF(ISBLANK(A116), "", VLOOKUP(A116,'Annotated Papers'!115:1154,5,FALSE))</f>
        <v>0</v>
      </c>
      <c r="D116">
        <f ca="1">IF(ISBLANK(A116), "", IF(COUNTIF('Annotated Papers'!A:A,A116)&gt;1,1,0))</f>
        <v>1</v>
      </c>
      <c r="E116">
        <f ca="1">IF(ISBLANK(A116), "", IF(SUMIFS('Annotated Papers'!G:G, 'Annotated Papers'!A:A,A116)&gt;0,1,0))</f>
        <v>0</v>
      </c>
      <c r="F116">
        <f ca="1">IF(ISBLANK(A116), "", IF(SUMIFS('Annotated Papers'!H:H, 'Annotated Papers'!A:A,A116)&gt;0,1,0))</f>
        <v>1</v>
      </c>
      <c r="G116" t="e">
        <f ca="1">IF(ISBLANK(A116), "", IF(SUMIFS('Annotated Papers'!I:I, 'Annotated Papers'!A:A,A116)&gt;0,1,0))</f>
        <v>#NAME?</v>
      </c>
      <c r="H116">
        <f ca="1">IF(ISBLANK(A116), "", IF(SUMIFS('Annotated Papers'!L:L, 'Annotated Papers'!A:A,A116)&gt;0,1,0))</f>
        <v>0</v>
      </c>
    </row>
    <row r="117" spans="1:8" ht="14">
      <c r="A117" s="25" t="str">
        <f ca="1">IFERROR(__xludf.DUMMYFUNCTION("""COMPUTED_VALUE"""),"Multiple Instance Learning for ECG Risk Stratification")</f>
        <v>Multiple Instance Learning for ECG Risk Stratification</v>
      </c>
      <c r="B117" t="str">
        <f ca="1">IF(ISBLANK(A117), "", VLOOKUP(A117,'Annotated Papers'!116:1155,2,FALSE))</f>
        <v>ML4H</v>
      </c>
      <c r="C117" s="24">
        <f ca="1">IF(ISBLANK(A117), "", VLOOKUP(A117,'Annotated Papers'!116:1155,5,FALSE))</f>
        <v>0</v>
      </c>
      <c r="D117">
        <f ca="1">IF(ISBLANK(A117), "", IF(COUNTIF('Annotated Papers'!A:A,A117)&gt;1,1,0))</f>
        <v>0</v>
      </c>
      <c r="E117">
        <f ca="1">IF(ISBLANK(A117), "", IF(SUMIFS('Annotated Papers'!G:G, 'Annotated Papers'!A:A,A117)&gt;0,1,0))</f>
        <v>1</v>
      </c>
      <c r="F117">
        <f ca="1">IF(ISBLANK(A117), "", IF(SUMIFS('Annotated Papers'!H:H, 'Annotated Papers'!A:A,A117)&gt;0,1,0))</f>
        <v>0</v>
      </c>
      <c r="G117" t="e">
        <f ca="1">IF(ISBLANK(A117), "", IF(SUMIFS('Annotated Papers'!I:I, 'Annotated Papers'!A:A,A117)&gt;0,1,0))</f>
        <v>#NAME?</v>
      </c>
      <c r="H117">
        <f ca="1">IF(ISBLANK(A117), "", IF(SUMIFS('Annotated Papers'!L:L, 'Annotated Papers'!A:A,A117)&gt;0,1,0))</f>
        <v>0</v>
      </c>
    </row>
    <row r="118" spans="1:8" ht="14">
      <c r="A118" s="25" t="str">
        <f ca="1">IFERROR(__xludf.DUMMYFUNCTION("""COMPUTED_VALUE"""),"Measuring the Stability of EHR- and EKG-based Predictive Models")</f>
        <v>Measuring the Stability of EHR- and EKG-based Predictive Models</v>
      </c>
      <c r="B118" t="str">
        <f ca="1">IF(ISBLANK(A118), "", VLOOKUP(A118,'Annotated Papers'!117:1156,2,FALSE))</f>
        <v>ML4H</v>
      </c>
      <c r="C118" s="24">
        <f ca="1">IF(ISBLANK(A118), "", VLOOKUP(A118,'Annotated Papers'!117:1156,5,FALSE))</f>
        <v>0</v>
      </c>
      <c r="D118">
        <f ca="1">IF(ISBLANK(A118), "", IF(COUNTIF('Annotated Papers'!A:A,A118)&gt;1,1,0))</f>
        <v>0</v>
      </c>
      <c r="E118">
        <f ca="1">IF(ISBLANK(A118), "", IF(SUMIFS('Annotated Papers'!G:G, 'Annotated Papers'!A:A,A118)&gt;0,1,0))</f>
        <v>1</v>
      </c>
      <c r="F118">
        <f ca="1">IF(ISBLANK(A118), "", IF(SUMIFS('Annotated Papers'!H:H, 'Annotated Papers'!A:A,A118)&gt;0,1,0))</f>
        <v>0</v>
      </c>
      <c r="G118" t="e">
        <f ca="1">IF(ISBLANK(A118), "", IF(SUMIFS('Annotated Papers'!I:I, 'Annotated Papers'!A:A,A118)&gt;0,1,0))</f>
        <v>#NAME?</v>
      </c>
      <c r="H118">
        <f ca="1">IF(ISBLANK(A118), "", IF(SUMIFS('Annotated Papers'!L:L, 'Annotated Papers'!A:A,A118)&gt;0,1,0))</f>
        <v>1</v>
      </c>
    </row>
    <row r="119" spans="1:8" ht="14">
      <c r="A119" s="25" t="str">
        <f ca="1">IFERROR(__xludf.DUMMYFUNCTION("""COMPUTED_VALUE"""),"Effective, Fast, and Memory-Efficient Compressed Multi-function Convolutional Neural Networks for More Accurate Medical Image Classification")</f>
        <v>Effective, Fast, and Memory-Efficient Compressed Multi-function Convolutional Neural Networks for More Accurate Medical Image Classification</v>
      </c>
      <c r="B119" t="str">
        <f ca="1">IF(ISBLANK(A119), "", VLOOKUP(A119,'Annotated Papers'!118:1157,2,FALSE))</f>
        <v>ML4H</v>
      </c>
      <c r="C119" s="24">
        <f ca="1">IF(ISBLANK(A119), "", VLOOKUP(A119,'Annotated Papers'!118:1157,5,FALSE))</f>
        <v>0</v>
      </c>
      <c r="D119">
        <f ca="1">IF(ISBLANK(A119), "", IF(COUNTIF('Annotated Papers'!A:A,A119)&gt;1,1,0))</f>
        <v>0</v>
      </c>
      <c r="E119">
        <f ca="1">IF(ISBLANK(A119), "", IF(SUMIFS('Annotated Papers'!G:G, 'Annotated Papers'!A:A,A119)&gt;0,1,0))</f>
        <v>1</v>
      </c>
      <c r="F119">
        <f ca="1">IF(ISBLANK(A119), "", IF(SUMIFS('Annotated Papers'!H:H, 'Annotated Papers'!A:A,A119)&gt;0,1,0))</f>
        <v>1</v>
      </c>
      <c r="G119" t="e">
        <f ca="1">IF(ISBLANK(A119), "", IF(SUMIFS('Annotated Papers'!I:I, 'Annotated Papers'!A:A,A119)&gt;0,1,0))</f>
        <v>#NAME?</v>
      </c>
      <c r="H119">
        <f ca="1">IF(ISBLANK(A119), "", IF(SUMIFS('Annotated Papers'!L:L, 'Annotated Papers'!A:A,A119)&gt;0,1,0))</f>
        <v>0</v>
      </c>
    </row>
    <row r="120" spans="1:8" ht="14">
      <c r="A120" s="25" t="str">
        <f ca="1">IFERROR(__xludf.DUMMYFUNCTION("""COMPUTED_VALUE"""),"Learning Global Additive Explanations for Neural Nets Using Model Distillation")</f>
        <v>Learning Global Additive Explanations for Neural Nets Using Model Distillation</v>
      </c>
      <c r="B120" t="str">
        <f ca="1">IF(ISBLANK(A120), "", VLOOKUP(A120,'Annotated Papers'!119:1158,2,FALSE))</f>
        <v>ML4H</v>
      </c>
      <c r="C120" s="24">
        <f ca="1">IF(ISBLANK(A120), "", VLOOKUP(A120,'Annotated Papers'!119:1158,5,FALSE))</f>
        <v>0</v>
      </c>
      <c r="D120">
        <f ca="1">IF(ISBLANK(A120), "", IF(COUNTIF('Annotated Papers'!A:A,A120)&gt;1,1,0))</f>
        <v>1</v>
      </c>
      <c r="E120">
        <f ca="1">IF(ISBLANK(A120), "", IF(SUMIFS('Annotated Papers'!G:G, 'Annotated Papers'!A:A,A120)&gt;0,1,0))</f>
        <v>1</v>
      </c>
      <c r="F120">
        <f ca="1">IF(ISBLANK(A120), "", IF(SUMIFS('Annotated Papers'!H:H, 'Annotated Papers'!A:A,A120)&gt;0,1,0))</f>
        <v>1</v>
      </c>
      <c r="G120" t="e">
        <f ca="1">IF(ISBLANK(A120), "", IF(SUMIFS('Annotated Papers'!I:I, 'Annotated Papers'!A:A,A120)&gt;0,1,0))</f>
        <v>#NAME?</v>
      </c>
      <c r="H120">
        <f ca="1">IF(ISBLANK(A120), "", IF(SUMIFS('Annotated Papers'!L:L, 'Annotated Papers'!A:A,A120)&gt;0,1,0))</f>
        <v>1</v>
      </c>
    </row>
    <row r="121" spans="1:8" ht="14">
      <c r="A121" s="25" t="str">
        <f ca="1">IFERROR(__xludf.DUMMYFUNCTION("""COMPUTED_VALUE"""),"Towards generative adversarial networks as a new paradigm for radiology education")</f>
        <v>Towards generative adversarial networks as a new paradigm for radiology education</v>
      </c>
      <c r="B121" t="str">
        <f ca="1">IF(ISBLANK(A121), "", VLOOKUP(A121,'Annotated Papers'!120:1159,2,FALSE))</f>
        <v>ML4H</v>
      </c>
      <c r="C121" s="24">
        <f ca="1">IF(ISBLANK(A121), "", VLOOKUP(A121,'Annotated Papers'!120:1159,5,FALSE))</f>
        <v>0</v>
      </c>
      <c r="D121">
        <f ca="1">IF(ISBLANK(A121), "", IF(COUNTIF('Annotated Papers'!A:A,A121)&gt;1,1,0))</f>
        <v>0</v>
      </c>
      <c r="E121">
        <f ca="1">IF(ISBLANK(A121), "", IF(SUMIFS('Annotated Papers'!G:G, 'Annotated Papers'!A:A,A121)&gt;0,1,0))</f>
        <v>1</v>
      </c>
      <c r="F121">
        <f ca="1">IF(ISBLANK(A121), "", IF(SUMIFS('Annotated Papers'!H:H, 'Annotated Papers'!A:A,A121)&gt;0,1,0))</f>
        <v>0</v>
      </c>
      <c r="G121" t="e">
        <f ca="1">IF(ISBLANK(A121), "", IF(SUMIFS('Annotated Papers'!I:I, 'Annotated Papers'!A:A,A121)&gt;0,1,0))</f>
        <v>#NAME?</v>
      </c>
      <c r="H121">
        <f ca="1">IF(ISBLANK(A121), "", IF(SUMIFS('Annotated Papers'!L:L, 'Annotated Papers'!A:A,A121)&gt;0,1,0))</f>
        <v>0</v>
      </c>
    </row>
    <row r="122" spans="1:8" ht="14">
      <c r="A122" s="25" t="str">
        <f ca="1">IFERROR(__xludf.DUMMYFUNCTION("""COMPUTED_VALUE"""),"Probabilistic Joint Face-Skull Modelling for Facial Reconstruction")</f>
        <v>Probabilistic Joint Face-Skull Modelling for Facial Reconstruction</v>
      </c>
      <c r="B122" t="str">
        <f ca="1">IF(ISBLANK(A122), "", VLOOKUP(A122,'Annotated Papers'!121:1160,2,FALSE))</f>
        <v>CV</v>
      </c>
      <c r="C122" s="24">
        <f ca="1">IF(ISBLANK(A122), "", VLOOKUP(A122,'Annotated Papers'!121:1160,5,FALSE))</f>
        <v>0</v>
      </c>
      <c r="D122">
        <f ca="1">IF(ISBLANK(A122), "", IF(COUNTIF('Annotated Papers'!A:A,A122)&gt;1,1,0))</f>
        <v>1</v>
      </c>
      <c r="E122">
        <f ca="1">IF(ISBLANK(A122), "", IF(SUMIFS('Annotated Papers'!G:G, 'Annotated Papers'!A:A,A122)&gt;0,1,0))</f>
        <v>1</v>
      </c>
      <c r="F122">
        <f ca="1">IF(ISBLANK(A122), "", IF(SUMIFS('Annotated Papers'!H:H, 'Annotated Papers'!A:A,A122)&gt;0,1,0))</f>
        <v>0</v>
      </c>
      <c r="G122" t="e">
        <f ca="1">IF(ISBLANK(A122), "", IF(SUMIFS('Annotated Papers'!I:I, 'Annotated Papers'!A:A,A122)&gt;0,1,0))</f>
        <v>#NAME?</v>
      </c>
      <c r="H122">
        <f ca="1">IF(ISBLANK(A122), "", IF(SUMIFS('Annotated Papers'!L:L, 'Annotated Papers'!A:A,A122)&gt;0,1,0))</f>
        <v>1</v>
      </c>
    </row>
    <row r="123" spans="1:8" ht="14">
      <c r="A123" s="25" t="str">
        <f ca="1">IFERROR(__xludf.DUMMYFUNCTION("""COMPUTED_VALUE"""),"Human Semantic Parsing for Person Re-Identification")</f>
        <v>Human Semantic Parsing for Person Re-Identification</v>
      </c>
      <c r="B123" t="str">
        <f ca="1">IF(ISBLANK(A123), "", VLOOKUP(A123,'Annotated Papers'!122:1161,2,FALSE))</f>
        <v>CV</v>
      </c>
      <c r="C123" s="24">
        <f ca="1">IF(ISBLANK(A123), "", VLOOKUP(A123,'Annotated Papers'!122:1161,5,FALSE))</f>
        <v>0</v>
      </c>
      <c r="D123">
        <f ca="1">IF(ISBLANK(A123), "", IF(COUNTIF('Annotated Papers'!A:A,A123)&gt;1,1,0))</f>
        <v>1</v>
      </c>
      <c r="E123">
        <f ca="1">IF(ISBLANK(A123), "", IF(SUMIFS('Annotated Papers'!G:G, 'Annotated Papers'!A:A,A123)&gt;0,1,0))</f>
        <v>0</v>
      </c>
      <c r="F123">
        <f ca="1">IF(ISBLANK(A123), "", IF(SUMIFS('Annotated Papers'!H:H, 'Annotated Papers'!A:A,A123)&gt;0,1,0))</f>
        <v>1</v>
      </c>
      <c r="G123" t="e">
        <f ca="1">IF(ISBLANK(A123), "", IF(SUMIFS('Annotated Papers'!I:I, 'Annotated Papers'!A:A,A123)&gt;0,1,0))</f>
        <v>#NAME?</v>
      </c>
      <c r="H123">
        <f ca="1">IF(ISBLANK(A123), "", IF(SUMIFS('Annotated Papers'!L:L, 'Annotated Papers'!A:A,A123)&gt;0,1,0))</f>
        <v>0</v>
      </c>
    </row>
    <row r="124" spans="1:8" ht="14">
      <c r="A124" s="25" t="str">
        <f ca="1">IFERROR(__xludf.DUMMYFUNCTION("""COMPUTED_VALUE"""),"Improving Occlusion and Hard Negative Handling for Single-Stage Pedestrian Detectors")</f>
        <v>Improving Occlusion and Hard Negative Handling for Single-Stage Pedestrian Detectors</v>
      </c>
      <c r="B124" t="str">
        <f ca="1">IF(ISBLANK(A124), "", VLOOKUP(A124,'Annotated Papers'!123:1162,2,FALSE))</f>
        <v>CV</v>
      </c>
      <c r="C124" s="24">
        <f ca="1">IF(ISBLANK(A124), "", VLOOKUP(A124,'Annotated Papers'!123:1162,5,FALSE))</f>
        <v>0</v>
      </c>
      <c r="D124">
        <f ca="1">IF(ISBLANK(A124), "", IF(COUNTIF('Annotated Papers'!A:A,A124)&gt;1,1,0))</f>
        <v>1</v>
      </c>
      <c r="E124">
        <f ca="1">IF(ISBLANK(A124), "", IF(SUMIFS('Annotated Papers'!G:G, 'Annotated Papers'!A:A,A124)&gt;0,1,0))</f>
        <v>0</v>
      </c>
      <c r="F124">
        <f ca="1">IF(ISBLANK(A124), "", IF(SUMIFS('Annotated Papers'!H:H, 'Annotated Papers'!A:A,A124)&gt;0,1,0))</f>
        <v>1</v>
      </c>
      <c r="G124" t="e">
        <f ca="1">IF(ISBLANK(A124), "", IF(SUMIFS('Annotated Papers'!I:I, 'Annotated Papers'!A:A,A124)&gt;0,1,0))</f>
        <v>#NAME?</v>
      </c>
      <c r="H124">
        <f ca="1">IF(ISBLANK(A124), "", IF(SUMIFS('Annotated Papers'!L:L, 'Annotated Papers'!A:A,A124)&gt;0,1,0))</f>
        <v>0</v>
      </c>
    </row>
    <row r="125" spans="1:8" ht="14">
      <c r="A125" s="25" t="str">
        <f ca="1">IFERROR(__xludf.DUMMYFUNCTION("""COMPUTED_VALUE"""),"pOSE: Pseudo Object Space Error for Initialization-Free Bundle Adjustment")</f>
        <v>pOSE: Pseudo Object Space Error for Initialization-Free Bundle Adjustment</v>
      </c>
      <c r="B125" t="str">
        <f ca="1">IF(ISBLANK(A125), "", VLOOKUP(A125,'Annotated Papers'!124:1163,2,FALSE))</f>
        <v>CV</v>
      </c>
      <c r="C125" s="24">
        <f ca="1">IF(ISBLANK(A125), "", VLOOKUP(A125,'Annotated Papers'!124:1163,5,FALSE))</f>
        <v>0</v>
      </c>
      <c r="D125">
        <f ca="1">IF(ISBLANK(A125), "", IF(COUNTIF('Annotated Papers'!A:A,A125)&gt;1,1,0))</f>
        <v>1</v>
      </c>
      <c r="E125">
        <f ca="1">IF(ISBLANK(A125), "", IF(SUMIFS('Annotated Papers'!G:G, 'Annotated Papers'!A:A,A125)&gt;0,1,0))</f>
        <v>0</v>
      </c>
      <c r="F125">
        <f ca="1">IF(ISBLANK(A125), "", IF(SUMIFS('Annotated Papers'!H:H, 'Annotated Papers'!A:A,A125)&gt;0,1,0))</f>
        <v>1</v>
      </c>
      <c r="G125" t="e">
        <f ca="1">IF(ISBLANK(A125), "", IF(SUMIFS('Annotated Papers'!I:I, 'Annotated Papers'!A:A,A125)&gt;0,1,0))</f>
        <v>#NAME?</v>
      </c>
      <c r="H125">
        <f ca="1">IF(ISBLANK(A125), "", IF(SUMIFS('Annotated Papers'!L:L, 'Annotated Papers'!A:A,A125)&gt;0,1,0))</f>
        <v>0</v>
      </c>
    </row>
    <row r="126" spans="1:8" ht="14">
      <c r="A126" s="25" t="str">
        <f ca="1">IFERROR(__xludf.DUMMYFUNCTION("""COMPUTED_VALUE"""),"SSNet: Scale Selection Network for Online 3D Action Prediction")</f>
        <v>SSNet: Scale Selection Network for Online 3D Action Prediction</v>
      </c>
      <c r="B126" t="str">
        <f ca="1">IF(ISBLANK(A126), "", VLOOKUP(A126,'Annotated Papers'!125:1164,2,FALSE))</f>
        <v>CV</v>
      </c>
      <c r="C126" s="24">
        <f ca="1">IF(ISBLANK(A126), "", VLOOKUP(A126,'Annotated Papers'!125:1164,5,FALSE))</f>
        <v>0</v>
      </c>
      <c r="D126">
        <f ca="1">IF(ISBLANK(A126), "", IF(COUNTIF('Annotated Papers'!A:A,A126)&gt;1,1,0))</f>
        <v>1</v>
      </c>
      <c r="E126">
        <f ca="1">IF(ISBLANK(A126), "", IF(SUMIFS('Annotated Papers'!G:G, 'Annotated Papers'!A:A,A126)&gt;0,1,0))</f>
        <v>0</v>
      </c>
      <c r="F126">
        <f ca="1">IF(ISBLANK(A126), "", IF(SUMIFS('Annotated Papers'!H:H, 'Annotated Papers'!A:A,A126)&gt;0,1,0))</f>
        <v>1</v>
      </c>
      <c r="G126" t="e">
        <f ca="1">IF(ISBLANK(A126), "", IF(SUMIFS('Annotated Papers'!I:I, 'Annotated Papers'!A:A,A126)&gt;0,1,0))</f>
        <v>#NAME?</v>
      </c>
      <c r="H126">
        <f ca="1">IF(ISBLANK(A126), "", IF(SUMIFS('Annotated Papers'!L:L, 'Annotated Papers'!A:A,A126)&gt;0,1,0))</f>
        <v>1</v>
      </c>
    </row>
    <row r="127" spans="1:8" ht="14">
      <c r="A127" s="25" t="str">
        <f ca="1">IFERROR(__xludf.DUMMYFUNCTION("""COMPUTED_VALUE"""),"CLEAR: Cumulative LEARning for One-Shot One-Class Image Recognition")</f>
        <v>CLEAR: Cumulative LEARning for One-Shot One-Class Image Recognition</v>
      </c>
      <c r="B127" t="str">
        <f ca="1">IF(ISBLANK(A127), "", VLOOKUP(A127,'Annotated Papers'!126:1165,2,FALSE))</f>
        <v>CV</v>
      </c>
      <c r="C127" s="24">
        <f ca="1">IF(ISBLANK(A127), "", VLOOKUP(A127,'Annotated Papers'!126:1165,5,FALSE))</f>
        <v>0</v>
      </c>
      <c r="D127">
        <f ca="1">IF(ISBLANK(A127), "", IF(COUNTIF('Annotated Papers'!A:A,A127)&gt;1,1,0))</f>
        <v>1</v>
      </c>
      <c r="E127">
        <f ca="1">IF(ISBLANK(A127), "", IF(SUMIFS('Annotated Papers'!G:G, 'Annotated Papers'!A:A,A127)&gt;0,1,0))</f>
        <v>0</v>
      </c>
      <c r="F127">
        <f ca="1">IF(ISBLANK(A127), "", IF(SUMIFS('Annotated Papers'!H:H, 'Annotated Papers'!A:A,A127)&gt;0,1,0))</f>
        <v>1</v>
      </c>
      <c r="G127" t="e">
        <f ca="1">IF(ISBLANK(A127), "", IF(SUMIFS('Annotated Papers'!I:I, 'Annotated Papers'!A:A,A127)&gt;0,1,0))</f>
        <v>#NAME?</v>
      </c>
      <c r="H127">
        <f ca="1">IF(ISBLANK(A127), "", IF(SUMIFS('Annotated Papers'!L:L, 'Annotated Papers'!A:A,A127)&gt;0,1,0))</f>
        <v>0</v>
      </c>
    </row>
    <row r="128" spans="1:8" ht="14">
      <c r="A128" s="25" t="str">
        <f ca="1">IFERROR(__xludf.DUMMYFUNCTION("""COMPUTED_VALUE"""),"RayNet: Learning Volumetric 3D Reconstruction With Ray Potentials")</f>
        <v>RayNet: Learning Volumetric 3D Reconstruction With Ray Potentials</v>
      </c>
      <c r="B128" t="str">
        <f ca="1">IF(ISBLANK(A128), "", VLOOKUP(A128,'Annotated Papers'!127:1166,2,FALSE))</f>
        <v>CV</v>
      </c>
      <c r="C128" s="24">
        <f ca="1">IF(ISBLANK(A128), "", VLOOKUP(A128,'Annotated Papers'!127:1166,5,FALSE))</f>
        <v>1</v>
      </c>
      <c r="D128">
        <f ca="1">IF(ISBLANK(A128), "", IF(COUNTIF('Annotated Papers'!A:A,A128)&gt;1,1,0))</f>
        <v>1</v>
      </c>
      <c r="E128">
        <f ca="1">IF(ISBLANK(A128), "", IF(SUMIFS('Annotated Papers'!G:G, 'Annotated Papers'!A:A,A128)&gt;0,1,0))</f>
        <v>0</v>
      </c>
      <c r="F128">
        <f ca="1">IF(ISBLANK(A128), "", IF(SUMIFS('Annotated Papers'!H:H, 'Annotated Papers'!A:A,A128)&gt;0,1,0))</f>
        <v>1</v>
      </c>
      <c r="G128" t="e">
        <f ca="1">IF(ISBLANK(A128), "", IF(SUMIFS('Annotated Papers'!I:I, 'Annotated Papers'!A:A,A128)&gt;0,1,0))</f>
        <v>#NAME?</v>
      </c>
      <c r="H128">
        <f ca="1">IF(ISBLANK(A128), "", IF(SUMIFS('Annotated Papers'!L:L, 'Annotated Papers'!A:A,A128)&gt;0,1,0))</f>
        <v>0</v>
      </c>
    </row>
    <row r="129" spans="1:8" ht="14">
      <c r="A129" s="25" t="str">
        <f ca="1">IFERROR(__xludf.DUMMYFUNCTION("""COMPUTED_VALUE"""),"Environment Upgrade Reinforcement Learning for Non-Differentiable Multi-Stage Pipelines")</f>
        <v>Environment Upgrade Reinforcement Learning for Non-Differentiable Multi-Stage Pipelines</v>
      </c>
      <c r="B129" t="str">
        <f ca="1">IF(ISBLANK(A129), "", VLOOKUP(A129,'Annotated Papers'!128:1167,2,FALSE))</f>
        <v>CV</v>
      </c>
      <c r="C129" s="24">
        <f ca="1">IF(ISBLANK(A129), "", VLOOKUP(A129,'Annotated Papers'!128:1167,5,FALSE))</f>
        <v>0</v>
      </c>
      <c r="D129">
        <f ca="1">IF(ISBLANK(A129), "", IF(COUNTIF('Annotated Papers'!A:A,A129)&gt;1,1,0))</f>
        <v>1</v>
      </c>
      <c r="E129">
        <f ca="1">IF(ISBLANK(A129), "", IF(SUMIFS('Annotated Papers'!G:G, 'Annotated Papers'!A:A,A129)&gt;0,1,0))</f>
        <v>0</v>
      </c>
      <c r="F129">
        <f ca="1">IF(ISBLANK(A129), "", IF(SUMIFS('Annotated Papers'!H:H, 'Annotated Papers'!A:A,A129)&gt;0,1,0))</f>
        <v>1</v>
      </c>
      <c r="G129" t="e">
        <f ca="1">IF(ISBLANK(A129), "", IF(SUMIFS('Annotated Papers'!I:I, 'Annotated Papers'!A:A,A129)&gt;0,1,0))</f>
        <v>#NAME?</v>
      </c>
      <c r="H129">
        <f ca="1">IF(ISBLANK(A129), "", IF(SUMIFS('Annotated Papers'!L:L, 'Annotated Papers'!A:A,A129)&gt;0,1,0))</f>
        <v>0</v>
      </c>
    </row>
    <row r="130" spans="1:8" ht="14">
      <c r="A130" s="25" t="str">
        <f ca="1">IFERROR(__xludf.DUMMYFUNCTION("""COMPUTED_VALUE"""),"Self-produced Guidance for Weakly-supervised Object Localization")</f>
        <v>Self-produced Guidance for Weakly-supervised Object Localization</v>
      </c>
      <c r="B130" t="str">
        <f ca="1">IF(ISBLANK(A130), "", VLOOKUP(A130,'Annotated Papers'!129:1168,2,FALSE))</f>
        <v>CV</v>
      </c>
      <c r="C130" s="24">
        <f ca="1">IF(ISBLANK(A130), "", VLOOKUP(A130,'Annotated Papers'!129:1168,5,FALSE))</f>
        <v>1</v>
      </c>
      <c r="D130">
        <f ca="1">IF(ISBLANK(A130), "", IF(COUNTIF('Annotated Papers'!A:A,A130)&gt;1,1,0))</f>
        <v>0</v>
      </c>
      <c r="E130">
        <f ca="1">IF(ISBLANK(A130), "", IF(SUMIFS('Annotated Papers'!G:G, 'Annotated Papers'!A:A,A130)&gt;0,1,0))</f>
        <v>0</v>
      </c>
      <c r="F130">
        <f ca="1">IF(ISBLANK(A130), "", IF(SUMIFS('Annotated Papers'!H:H, 'Annotated Papers'!A:A,A130)&gt;0,1,0))</f>
        <v>1</v>
      </c>
      <c r="G130" t="e">
        <f ca="1">IF(ISBLANK(A130), "", IF(SUMIFS('Annotated Papers'!I:I, 'Annotated Papers'!A:A,A130)&gt;0,1,0))</f>
        <v>#NAME?</v>
      </c>
      <c r="H130">
        <f ca="1">IF(ISBLANK(A130), "", IF(SUMIFS('Annotated Papers'!L:L, 'Annotated Papers'!A:A,A130)&gt;0,1,0))</f>
        <v>0</v>
      </c>
    </row>
    <row r="131" spans="1:8" ht="14">
      <c r="A131" s="25" t="str">
        <f ca="1">IFERROR(__xludf.DUMMYFUNCTION("""COMPUTED_VALUE"""),"Deterministic Consensus Maximization with Biconvex Programming")</f>
        <v>Deterministic Consensus Maximization with Biconvex Programming</v>
      </c>
      <c r="B131" t="str">
        <f ca="1">IF(ISBLANK(A131), "", VLOOKUP(A131,'Annotated Papers'!130:1169,2,FALSE))</f>
        <v>CV</v>
      </c>
      <c r="C131" s="24">
        <f ca="1">IF(ISBLANK(A131), "", VLOOKUP(A131,'Annotated Papers'!130:1169,5,FALSE))</f>
        <v>1</v>
      </c>
      <c r="D131">
        <f ca="1">IF(ISBLANK(A131), "", IF(COUNTIF('Annotated Papers'!A:A,A131)&gt;1,1,0))</f>
        <v>1</v>
      </c>
      <c r="E131">
        <f ca="1">IF(ISBLANK(A131), "", IF(SUMIFS('Annotated Papers'!G:G, 'Annotated Papers'!A:A,A131)&gt;0,1,0))</f>
        <v>0</v>
      </c>
      <c r="F131">
        <f ca="1">IF(ISBLANK(A131), "", IF(SUMIFS('Annotated Papers'!H:H, 'Annotated Papers'!A:A,A131)&gt;0,1,0))</f>
        <v>1</v>
      </c>
      <c r="G131" t="e">
        <f ca="1">IF(ISBLANK(A131), "", IF(SUMIFS('Annotated Papers'!I:I, 'Annotated Papers'!A:A,A131)&gt;0,1,0))</f>
        <v>#NAME?</v>
      </c>
      <c r="H131">
        <f ca="1">IF(ISBLANK(A131), "", IF(SUMIFS('Annotated Papers'!L:L, 'Annotated Papers'!A:A,A131)&gt;0,1,0))</f>
        <v>0</v>
      </c>
    </row>
    <row r="132" spans="1:8" ht="14">
      <c r="A132" s="25" t="str">
        <f ca="1">IFERROR(__xludf.DUMMYFUNCTION("""COMPUTED_VALUE"""),"HiDDeN: Hiding Data with Deep Networks")</f>
        <v>HiDDeN: Hiding Data with Deep Networks</v>
      </c>
      <c r="B132" t="str">
        <f ca="1">IF(ISBLANK(A132), "", VLOOKUP(A132,'Annotated Papers'!131:1170,2,FALSE))</f>
        <v>CV</v>
      </c>
      <c r="C132" s="24">
        <f ca="1">IF(ISBLANK(A132), "", VLOOKUP(A132,'Annotated Papers'!131:1170,5,FALSE))</f>
        <v>0</v>
      </c>
      <c r="D132">
        <f ca="1">IF(ISBLANK(A132), "", IF(COUNTIF('Annotated Papers'!A:A,A132)&gt;1,1,0))</f>
        <v>1</v>
      </c>
      <c r="E132">
        <f ca="1">IF(ISBLANK(A132), "", IF(SUMIFS('Annotated Papers'!G:G, 'Annotated Papers'!A:A,A132)&gt;0,1,0))</f>
        <v>0</v>
      </c>
      <c r="F132">
        <f ca="1">IF(ISBLANK(A132), "", IF(SUMIFS('Annotated Papers'!H:H, 'Annotated Papers'!A:A,A132)&gt;0,1,0))</f>
        <v>1</v>
      </c>
      <c r="G132" t="e">
        <f ca="1">IF(ISBLANK(A132), "", IF(SUMIFS('Annotated Papers'!I:I, 'Annotated Papers'!A:A,A132)&gt;0,1,0))</f>
        <v>#NAME?</v>
      </c>
      <c r="H132">
        <f ca="1">IF(ISBLANK(A132), "", IF(SUMIFS('Annotated Papers'!L:L, 'Annotated Papers'!A:A,A132)&gt;0,1,0))</f>
        <v>0</v>
      </c>
    </row>
    <row r="133" spans="1:8" ht="14">
      <c r="A133" s="25" t="str">
        <f ca="1">IFERROR(__xludf.DUMMYFUNCTION("""COMPUTED_VALUE"""),"Synergy Between Face Alignment and Tracking via Discriminative Global Consensus Optimization")</f>
        <v>Synergy Between Face Alignment and Tracking via Discriminative Global Consensus Optimization</v>
      </c>
      <c r="B133" t="str">
        <f ca="1">IF(ISBLANK(A133), "", VLOOKUP(A133,'Annotated Papers'!132:1171,2,FALSE))</f>
        <v>CV</v>
      </c>
      <c r="C133" s="24">
        <f ca="1">IF(ISBLANK(A133), "", VLOOKUP(A133,'Annotated Papers'!132:1171,5,FALSE))</f>
        <v>0</v>
      </c>
      <c r="D133">
        <f ca="1">IF(ISBLANK(A133), "", IF(COUNTIF('Annotated Papers'!A:A,A133)&gt;1,1,0))</f>
        <v>1</v>
      </c>
      <c r="E133">
        <f ca="1">IF(ISBLANK(A133), "", IF(SUMIFS('Annotated Papers'!G:G, 'Annotated Papers'!A:A,A133)&gt;0,1,0))</f>
        <v>0</v>
      </c>
      <c r="F133">
        <f ca="1">IF(ISBLANK(A133), "", IF(SUMIFS('Annotated Papers'!H:H, 'Annotated Papers'!A:A,A133)&gt;0,1,0))</f>
        <v>1</v>
      </c>
      <c r="G133" t="e">
        <f ca="1">IF(ISBLANK(A133), "", IF(SUMIFS('Annotated Papers'!I:I, 'Annotated Papers'!A:A,A133)&gt;0,1,0))</f>
        <v>#NAME?</v>
      </c>
      <c r="H133">
        <f ca="1">IF(ISBLANK(A133), "", IF(SUMIFS('Annotated Papers'!L:L, 'Annotated Papers'!A:A,A133)&gt;0,1,0))</f>
        <v>0</v>
      </c>
    </row>
    <row r="134" spans="1:8" ht="14">
      <c r="A134" s="25" t="str">
        <f ca="1">IFERROR(__xludf.DUMMYFUNCTION("""COMPUTED_VALUE"""),"Deep TextSpotter: An End-To-End Trainable Scene Text Localization and Recognition Framework")</f>
        <v>Deep TextSpotter: An End-To-End Trainable Scene Text Localization and Recognition Framework</v>
      </c>
      <c r="B134" t="str">
        <f ca="1">IF(ISBLANK(A134), "", VLOOKUP(A134,'Annotated Papers'!133:1172,2,FALSE))</f>
        <v>CV</v>
      </c>
      <c r="C134" s="24">
        <f ca="1">IF(ISBLANK(A134), "", VLOOKUP(A134,'Annotated Papers'!133:1172,5,FALSE))</f>
        <v>1</v>
      </c>
      <c r="D134">
        <f ca="1">IF(ISBLANK(A134), "", IF(COUNTIF('Annotated Papers'!A:A,A134)&gt;1,1,0))</f>
        <v>1</v>
      </c>
      <c r="E134">
        <f ca="1">IF(ISBLANK(A134), "", IF(SUMIFS('Annotated Papers'!G:G, 'Annotated Papers'!A:A,A134)&gt;0,1,0))</f>
        <v>0</v>
      </c>
      <c r="F134">
        <f ca="1">IF(ISBLANK(A134), "", IF(SUMIFS('Annotated Papers'!H:H, 'Annotated Papers'!A:A,A134)&gt;0,1,0))</f>
        <v>1</v>
      </c>
      <c r="G134" t="e">
        <f ca="1">IF(ISBLANK(A134), "", IF(SUMIFS('Annotated Papers'!I:I, 'Annotated Papers'!A:A,A134)&gt;0,1,0))</f>
        <v>#NAME?</v>
      </c>
      <c r="H134">
        <f ca="1">IF(ISBLANK(A134), "", IF(SUMIFS('Annotated Papers'!L:L, 'Annotated Papers'!A:A,A134)&gt;0,1,0))</f>
        <v>0</v>
      </c>
    </row>
    <row r="135" spans="1:8" ht="14">
      <c r="A135" s="25" t="str">
        <f ca="1">IFERROR(__xludf.DUMMYFUNCTION("""COMPUTED_VALUE"""),"Anticipating Daily Intention Using On-Wrist Motion Triggered Sensing")</f>
        <v>Anticipating Daily Intention Using On-Wrist Motion Triggered Sensing</v>
      </c>
      <c r="B135" t="str">
        <f ca="1">IF(ISBLANK(A135), "", VLOOKUP(A135,'Annotated Papers'!134:1173,2,FALSE))</f>
        <v>CV</v>
      </c>
      <c r="C135" s="24">
        <f ca="1">IF(ISBLANK(A135), "", VLOOKUP(A135,'Annotated Papers'!134:1173,5,FALSE))</f>
        <v>1</v>
      </c>
      <c r="D135">
        <f ca="1">IF(ISBLANK(A135), "", IF(COUNTIF('Annotated Papers'!A:A,A135)&gt;1,1,0))</f>
        <v>0</v>
      </c>
      <c r="E135">
        <f ca="1">IF(ISBLANK(A135), "", IF(SUMIFS('Annotated Papers'!G:G, 'Annotated Papers'!A:A,A135)&gt;0,1,0))</f>
        <v>0</v>
      </c>
      <c r="F135">
        <f ca="1">IF(ISBLANK(A135), "", IF(SUMIFS('Annotated Papers'!H:H, 'Annotated Papers'!A:A,A135)&gt;0,1,0))</f>
        <v>1</v>
      </c>
      <c r="G135" t="e">
        <f ca="1">IF(ISBLANK(A135), "", IF(SUMIFS('Annotated Papers'!I:I, 'Annotated Papers'!A:A,A135)&gt;0,1,0))</f>
        <v>#NAME?</v>
      </c>
      <c r="H135">
        <f ca="1">IF(ISBLANK(A135), "", IF(SUMIFS('Annotated Papers'!L:L, 'Annotated Papers'!A:A,A135)&gt;0,1,0))</f>
        <v>0</v>
      </c>
    </row>
    <row r="136" spans="1:8" ht="14">
      <c r="A136" s="25" t="str">
        <f ca="1">IFERROR(__xludf.DUMMYFUNCTION("""COMPUTED_VALUE"""),"3D Face Reconstruction from Light Field Images: A Model-free Approach")</f>
        <v>3D Face Reconstruction from Light Field Images: A Model-free Approach</v>
      </c>
      <c r="B136" t="str">
        <f ca="1">IF(ISBLANK(A136), "", VLOOKUP(A136,'Annotated Papers'!135:1174,2,FALSE))</f>
        <v>CV</v>
      </c>
      <c r="C136" s="24">
        <f ca="1">IF(ISBLANK(A136), "", VLOOKUP(A136,'Annotated Papers'!135:1174,5,FALSE))</f>
        <v>0</v>
      </c>
      <c r="D136">
        <f ca="1">IF(ISBLANK(A136), "", IF(COUNTIF('Annotated Papers'!A:A,A136)&gt;1,1,0))</f>
        <v>1</v>
      </c>
      <c r="E136">
        <f ca="1">IF(ISBLANK(A136), "", IF(SUMIFS('Annotated Papers'!G:G, 'Annotated Papers'!A:A,A136)&gt;0,1,0))</f>
        <v>0</v>
      </c>
      <c r="F136">
        <f ca="1">IF(ISBLANK(A136), "", IF(SUMIFS('Annotated Papers'!H:H, 'Annotated Papers'!A:A,A136)&gt;0,1,0))</f>
        <v>1</v>
      </c>
      <c r="G136" t="e">
        <f ca="1">IF(ISBLANK(A136), "", IF(SUMIFS('Annotated Papers'!I:I, 'Annotated Papers'!A:A,A136)&gt;0,1,0))</f>
        <v>#NAME?</v>
      </c>
      <c r="H136">
        <f ca="1">IF(ISBLANK(A136), "", IF(SUMIFS('Annotated Papers'!L:L, 'Annotated Papers'!A:A,A136)&gt;0,1,0))</f>
        <v>1</v>
      </c>
    </row>
    <row r="137" spans="1:8" ht="14">
      <c r="A137" s="25" t="str">
        <f ca="1">IFERROR(__xludf.DUMMYFUNCTION("""COMPUTED_VALUE"""),"Face De-Spoofing: Anti-Spoofing via Noise Modeling")</f>
        <v>Face De-Spoofing: Anti-Spoofing via Noise Modeling</v>
      </c>
      <c r="B137" t="str">
        <f ca="1">IF(ISBLANK(A137), "", VLOOKUP(A137,'Annotated Papers'!136:1175,2,FALSE))</f>
        <v>CV</v>
      </c>
      <c r="C137" s="24">
        <f ca="1">IF(ISBLANK(A137), "", VLOOKUP(A137,'Annotated Papers'!136:1175,5,FALSE))</f>
        <v>0</v>
      </c>
      <c r="D137">
        <f ca="1">IF(ISBLANK(A137), "", IF(COUNTIF('Annotated Papers'!A:A,A137)&gt;1,1,0))</f>
        <v>1</v>
      </c>
      <c r="E137">
        <f ca="1">IF(ISBLANK(A137), "", IF(SUMIFS('Annotated Papers'!G:G, 'Annotated Papers'!A:A,A137)&gt;0,1,0))</f>
        <v>0</v>
      </c>
      <c r="F137">
        <f ca="1">IF(ISBLANK(A137), "", IF(SUMIFS('Annotated Papers'!H:H, 'Annotated Papers'!A:A,A137)&gt;0,1,0))</f>
        <v>1</v>
      </c>
      <c r="G137" t="e">
        <f ca="1">IF(ISBLANK(A137), "", IF(SUMIFS('Annotated Papers'!I:I, 'Annotated Papers'!A:A,A137)&gt;0,1,0))</f>
        <v>#NAME?</v>
      </c>
      <c r="H137">
        <f ca="1">IF(ISBLANK(A137), "", IF(SUMIFS('Annotated Papers'!L:L, 'Annotated Papers'!A:A,A137)&gt;0,1,0))</f>
        <v>0</v>
      </c>
    </row>
    <row r="138" spans="1:8" ht="14">
      <c r="A138" s="25" t="str">
        <f ca="1">IFERROR(__xludf.DUMMYFUNCTION("""COMPUTED_VALUE"""),"Eigendecomposition-free Training of Deep Networks with Zero Eigenvalue-based Losses")</f>
        <v>Eigendecomposition-free Training of Deep Networks with Zero Eigenvalue-based Losses</v>
      </c>
      <c r="B138" t="str">
        <f ca="1">IF(ISBLANK(A138), "", VLOOKUP(A138,'Annotated Papers'!137:1176,2,FALSE))</f>
        <v>CV</v>
      </c>
      <c r="C138" s="24">
        <f ca="1">IF(ISBLANK(A138), "", VLOOKUP(A138,'Annotated Papers'!137:1176,5,FALSE))</f>
        <v>1</v>
      </c>
      <c r="D138">
        <f ca="1">IF(ISBLANK(A138), "", IF(COUNTIF('Annotated Papers'!A:A,A138)&gt;1,1,0))</f>
        <v>1</v>
      </c>
      <c r="E138">
        <f ca="1">IF(ISBLANK(A138), "", IF(SUMIFS('Annotated Papers'!G:G, 'Annotated Papers'!A:A,A138)&gt;0,1,0))</f>
        <v>0</v>
      </c>
      <c r="F138">
        <f ca="1">IF(ISBLANK(A138), "", IF(SUMIFS('Annotated Papers'!H:H, 'Annotated Papers'!A:A,A138)&gt;0,1,0))</f>
        <v>1</v>
      </c>
      <c r="G138" t="e">
        <f ca="1">IF(ISBLANK(A138), "", IF(SUMIFS('Annotated Papers'!I:I, 'Annotated Papers'!A:A,A138)&gt;0,1,0))</f>
        <v>#NAME?</v>
      </c>
      <c r="H138">
        <f ca="1">IF(ISBLANK(A138), "", IF(SUMIFS('Annotated Papers'!L:L, 'Annotated Papers'!A:A,A138)&gt;0,1,0))</f>
        <v>0</v>
      </c>
    </row>
    <row r="139" spans="1:8" ht="14">
      <c r="A139" s="25" t="str">
        <f ca="1">IFERROR(__xludf.DUMMYFUNCTION("""COMPUTED_VALUE"""),"Cross-Modal Ranking with Soft Consistency and Noisy Labels for Robust RGB-T Tracking")</f>
        <v>Cross-Modal Ranking with Soft Consistency and Noisy Labels for Robust RGB-T Tracking</v>
      </c>
      <c r="B139" t="str">
        <f ca="1">IF(ISBLANK(A139), "", VLOOKUP(A139,'Annotated Papers'!138:1177,2,FALSE))</f>
        <v>CV</v>
      </c>
      <c r="C139" s="24">
        <f ca="1">IF(ISBLANK(A139), "", VLOOKUP(A139,'Annotated Papers'!138:1177,5,FALSE))</f>
        <v>1</v>
      </c>
      <c r="D139">
        <f ca="1">IF(ISBLANK(A139), "", IF(COUNTIF('Annotated Papers'!A:A,A139)&gt;1,1,0))</f>
        <v>1</v>
      </c>
      <c r="E139">
        <f ca="1">IF(ISBLANK(A139), "", IF(SUMIFS('Annotated Papers'!G:G, 'Annotated Papers'!A:A,A139)&gt;0,1,0))</f>
        <v>0</v>
      </c>
      <c r="F139">
        <f ca="1">IF(ISBLANK(A139), "", IF(SUMIFS('Annotated Papers'!H:H, 'Annotated Papers'!A:A,A139)&gt;0,1,0))</f>
        <v>1</v>
      </c>
      <c r="G139" t="e">
        <f ca="1">IF(ISBLANK(A139), "", IF(SUMIFS('Annotated Papers'!I:I, 'Annotated Papers'!A:A,A139)&gt;0,1,0))</f>
        <v>#NAME?</v>
      </c>
      <c r="H139">
        <f ca="1">IF(ISBLANK(A139), "", IF(SUMIFS('Annotated Papers'!L:L, 'Annotated Papers'!A:A,A139)&gt;0,1,0))</f>
        <v>0</v>
      </c>
    </row>
    <row r="140" spans="1:8" ht="14">
      <c r="A140" s="25" t="str">
        <f ca="1">IFERROR(__xludf.DUMMYFUNCTION("""COMPUTED_VALUE"""),"HybridFusion: Real-Time Performance Capture Using a Single Depth Sensor and Sparse IMUs")</f>
        <v>HybridFusion: Real-Time Performance Capture Using a Single Depth Sensor and Sparse IMUs</v>
      </c>
      <c r="B140" t="str">
        <f ca="1">IF(ISBLANK(A140), "", VLOOKUP(A140,'Annotated Papers'!139:1178,2,FALSE))</f>
        <v>CV</v>
      </c>
      <c r="C140" s="24">
        <f ca="1">IF(ISBLANK(A140), "", VLOOKUP(A140,'Annotated Papers'!139:1178,5,FALSE))</f>
        <v>0</v>
      </c>
      <c r="D140">
        <f ca="1">IF(ISBLANK(A140), "", IF(COUNTIF('Annotated Papers'!A:A,A140)&gt;1,1,0))</f>
        <v>1</v>
      </c>
      <c r="E140">
        <f ca="1">IF(ISBLANK(A140), "", IF(SUMIFS('Annotated Papers'!G:G, 'Annotated Papers'!A:A,A140)&gt;0,1,0))</f>
        <v>0</v>
      </c>
      <c r="F140">
        <f ca="1">IF(ISBLANK(A140), "", IF(SUMIFS('Annotated Papers'!H:H, 'Annotated Papers'!A:A,A140)&gt;0,1,0))</f>
        <v>1</v>
      </c>
      <c r="G140" t="e">
        <f ca="1">IF(ISBLANK(A140), "", IF(SUMIFS('Annotated Papers'!I:I, 'Annotated Papers'!A:A,A140)&gt;0,1,0))</f>
        <v>#NAME?</v>
      </c>
      <c r="H140">
        <f ca="1">IF(ISBLANK(A140), "", IF(SUMIFS('Annotated Papers'!L:L, 'Annotated Papers'!A:A,A140)&gt;0,1,0))</f>
        <v>1</v>
      </c>
    </row>
    <row r="141" spans="1:8" ht="14">
      <c r="A141" s="25" t="str">
        <f ca="1">IFERROR(__xludf.DUMMYFUNCTION("""COMPUTED_VALUE"""),"Joint Estimation of Camera Pose, Depth, Deblurring, and Super-Resolution From a Blurred Image Sequence")</f>
        <v>Joint Estimation of Camera Pose, Depth, Deblurring, and Super-Resolution From a Blurred Image Sequence</v>
      </c>
      <c r="B141" t="str">
        <f ca="1">IF(ISBLANK(A141), "", VLOOKUP(A141,'Annotated Papers'!140:1179,2,FALSE))</f>
        <v>CV</v>
      </c>
      <c r="C141" s="24">
        <f ca="1">IF(ISBLANK(A141), "", VLOOKUP(A141,'Annotated Papers'!140:1179,5,FALSE))</f>
        <v>0</v>
      </c>
      <c r="D141">
        <f ca="1">IF(ISBLANK(A141), "", IF(COUNTIF('Annotated Papers'!A:A,A141)&gt;1,1,0))</f>
        <v>1</v>
      </c>
      <c r="E141">
        <f ca="1">IF(ISBLANK(A141), "", IF(SUMIFS('Annotated Papers'!G:G, 'Annotated Papers'!A:A,A141)&gt;0,1,0))</f>
        <v>0</v>
      </c>
      <c r="F141">
        <f ca="1">IF(ISBLANK(A141), "", IF(SUMIFS('Annotated Papers'!H:H, 'Annotated Papers'!A:A,A141)&gt;0,1,0))</f>
        <v>0</v>
      </c>
      <c r="G141" t="e">
        <f ca="1">IF(ISBLANK(A141), "", IF(SUMIFS('Annotated Papers'!I:I, 'Annotated Papers'!A:A,A141)&gt;0,1,0))</f>
        <v>#NAME?</v>
      </c>
      <c r="H141">
        <f ca="1">IF(ISBLANK(A141), "", IF(SUMIFS('Annotated Papers'!L:L, 'Annotated Papers'!A:A,A141)&gt;0,1,0))</f>
        <v>0</v>
      </c>
    </row>
    <row r="142" spans="1:8" ht="14">
      <c r="A142" s="25" t="str">
        <f ca="1">IFERROR(__xludf.DUMMYFUNCTION("""COMPUTED_VALUE"""),"Turning Corners Into Cameras: Principles and Methods")</f>
        <v>Turning Corners Into Cameras: Principles and Methods</v>
      </c>
      <c r="B142" t="str">
        <f ca="1">IF(ISBLANK(A142), "", VLOOKUP(A142,'Annotated Papers'!141:1180,2,FALSE))</f>
        <v>CV</v>
      </c>
      <c r="C142" s="24">
        <f ca="1">IF(ISBLANK(A142), "", VLOOKUP(A142,'Annotated Papers'!141:1180,5,FALSE))</f>
        <v>0</v>
      </c>
      <c r="D142">
        <f ca="1">IF(ISBLANK(A142), "", IF(COUNTIF('Annotated Papers'!A:A,A142)&gt;1,1,0))</f>
        <v>1</v>
      </c>
      <c r="E142">
        <f ca="1">IF(ISBLANK(A142), "", IF(SUMIFS('Annotated Papers'!G:G, 'Annotated Papers'!A:A,A142)&gt;0,1,0))</f>
        <v>0</v>
      </c>
      <c r="F142">
        <f ca="1">IF(ISBLANK(A142), "", IF(SUMIFS('Annotated Papers'!H:H, 'Annotated Papers'!A:A,A142)&gt;0,1,0))</f>
        <v>0</v>
      </c>
      <c r="G142" t="e">
        <f ca="1">IF(ISBLANK(A142), "", IF(SUMIFS('Annotated Papers'!I:I, 'Annotated Papers'!A:A,A142)&gt;0,1,0))</f>
        <v>#NAME?</v>
      </c>
      <c r="H142">
        <f ca="1">IF(ISBLANK(A142), "", IF(SUMIFS('Annotated Papers'!L:L, 'Annotated Papers'!A:A,A142)&gt;0,1,0))</f>
        <v>0</v>
      </c>
    </row>
    <row r="143" spans="1:8" ht="14">
      <c r="A143" s="25" t="str">
        <f ca="1">IFERROR(__xludf.DUMMYFUNCTION("""COMPUTED_VALUE"""),"An Analysis of Visual Question Answering Algorithms")</f>
        <v>An Analysis of Visual Question Answering Algorithms</v>
      </c>
      <c r="B143" t="str">
        <f ca="1">IF(ISBLANK(A143), "", VLOOKUP(A143,'Annotated Papers'!142:1181,2,FALSE))</f>
        <v>CV</v>
      </c>
      <c r="C143" s="24">
        <f ca="1">IF(ISBLANK(A143), "", VLOOKUP(A143,'Annotated Papers'!142:1181,5,FALSE))</f>
        <v>0</v>
      </c>
      <c r="D143">
        <f ca="1">IF(ISBLANK(A143), "", IF(COUNTIF('Annotated Papers'!A:A,A143)&gt;1,1,0))</f>
        <v>0</v>
      </c>
      <c r="E143">
        <f ca="1">IF(ISBLANK(A143), "", IF(SUMIFS('Annotated Papers'!G:G, 'Annotated Papers'!A:A,A143)&gt;0,1,0))</f>
        <v>0</v>
      </c>
      <c r="F143">
        <f ca="1">IF(ISBLANK(A143), "", IF(SUMIFS('Annotated Papers'!H:H, 'Annotated Papers'!A:A,A143)&gt;0,1,0))</f>
        <v>1</v>
      </c>
      <c r="G143" t="e">
        <f ca="1">IF(ISBLANK(A143), "", IF(SUMIFS('Annotated Papers'!I:I, 'Annotated Papers'!A:A,A143)&gt;0,1,0))</f>
        <v>#NAME?</v>
      </c>
      <c r="H143">
        <f ca="1">IF(ISBLANK(A143), "", IF(SUMIFS('Annotated Papers'!L:L, 'Annotated Papers'!A:A,A143)&gt;0,1,0))</f>
        <v>0</v>
      </c>
    </row>
    <row r="144" spans="1:8" ht="14">
      <c r="A144" s="25" t="str">
        <f ca="1">IFERROR(__xludf.DUMMYFUNCTION("""COMPUTED_VALUE"""),"Semantic Video CNNs Through Representation Warping")</f>
        <v>Semantic Video CNNs Through Representation Warping</v>
      </c>
      <c r="B144" t="str">
        <f ca="1">IF(ISBLANK(A144), "", VLOOKUP(A144,'Annotated Papers'!143:1182,2,FALSE))</f>
        <v>CV</v>
      </c>
      <c r="C144" s="24">
        <f ca="1">IF(ISBLANK(A144), "", VLOOKUP(A144,'Annotated Papers'!143:1182,5,FALSE))</f>
        <v>1</v>
      </c>
      <c r="D144">
        <f ca="1">IF(ISBLANK(A144), "", IF(COUNTIF('Annotated Papers'!A:A,A144)&gt;1,1,0))</f>
        <v>1</v>
      </c>
      <c r="E144">
        <f ca="1">IF(ISBLANK(A144), "", IF(SUMIFS('Annotated Papers'!G:G, 'Annotated Papers'!A:A,A144)&gt;0,1,0))</f>
        <v>0</v>
      </c>
      <c r="F144">
        <f ca="1">IF(ISBLANK(A144), "", IF(SUMIFS('Annotated Papers'!H:H, 'Annotated Papers'!A:A,A144)&gt;0,1,0))</f>
        <v>1</v>
      </c>
      <c r="G144" t="e">
        <f ca="1">IF(ISBLANK(A144), "", IF(SUMIFS('Annotated Papers'!I:I, 'Annotated Papers'!A:A,A144)&gt;0,1,0))</f>
        <v>#NAME?</v>
      </c>
      <c r="H144">
        <f ca="1">IF(ISBLANK(A144), "", IF(SUMIFS('Annotated Papers'!L:L, 'Annotated Papers'!A:A,A144)&gt;0,1,0))</f>
        <v>0</v>
      </c>
    </row>
    <row r="145" spans="1:8" ht="14">
      <c r="A145" s="25" t="str">
        <f ca="1">IFERROR(__xludf.DUMMYFUNCTION("""COMPUTED_VALUE"""),"Attribute-Enhanced Face Recognition With Neural Tensor Fusion Networks")</f>
        <v>Attribute-Enhanced Face Recognition With Neural Tensor Fusion Networks</v>
      </c>
      <c r="B145" t="str">
        <f ca="1">IF(ISBLANK(A145), "", VLOOKUP(A145,'Annotated Papers'!144:1183,2,FALSE))</f>
        <v>CV</v>
      </c>
      <c r="C145" s="24">
        <f ca="1">IF(ISBLANK(A145), "", VLOOKUP(A145,'Annotated Papers'!144:1183,5,FALSE))</f>
        <v>1</v>
      </c>
      <c r="D145">
        <f ca="1">IF(ISBLANK(A145), "", IF(COUNTIF('Annotated Papers'!A:A,A145)&gt;1,1,0))</f>
        <v>1</v>
      </c>
      <c r="E145">
        <f ca="1">IF(ISBLANK(A145), "", IF(SUMIFS('Annotated Papers'!G:G, 'Annotated Papers'!A:A,A145)&gt;0,1,0))</f>
        <v>0</v>
      </c>
      <c r="F145">
        <f ca="1">IF(ISBLANK(A145), "", IF(SUMIFS('Annotated Papers'!H:H, 'Annotated Papers'!A:A,A145)&gt;0,1,0))</f>
        <v>1</v>
      </c>
      <c r="G145" t="e">
        <f ca="1">IF(ISBLANK(A145), "", IF(SUMIFS('Annotated Papers'!I:I, 'Annotated Papers'!A:A,A145)&gt;0,1,0))</f>
        <v>#NAME?</v>
      </c>
      <c r="H145">
        <f ca="1">IF(ISBLANK(A145), "", IF(SUMIFS('Annotated Papers'!L:L, 'Annotated Papers'!A:A,A145)&gt;0,1,0))</f>
        <v>0</v>
      </c>
    </row>
    <row r="146" spans="1:8" ht="14">
      <c r="A146" s="25" t="str">
        <f ca="1">IFERROR(__xludf.DUMMYFUNCTION("""COMPUTED_VALUE"""),"Low-Latency Video Semantic Segmentation")</f>
        <v>Low-Latency Video Semantic Segmentation</v>
      </c>
      <c r="B146" t="str">
        <f ca="1">IF(ISBLANK(A146), "", VLOOKUP(A146,'Annotated Papers'!145:1184,2,FALSE))</f>
        <v>CV</v>
      </c>
      <c r="C146" s="24">
        <f ca="1">IF(ISBLANK(A146), "", VLOOKUP(A146,'Annotated Papers'!145:1184,5,FALSE))</f>
        <v>0</v>
      </c>
      <c r="D146">
        <f ca="1">IF(ISBLANK(A146), "", IF(COUNTIF('Annotated Papers'!A:A,A146)&gt;1,1,0))</f>
        <v>1</v>
      </c>
      <c r="E146">
        <f ca="1">IF(ISBLANK(A146), "", IF(SUMIFS('Annotated Papers'!G:G, 'Annotated Papers'!A:A,A146)&gt;0,1,0))</f>
        <v>0</v>
      </c>
      <c r="F146">
        <f ca="1">IF(ISBLANK(A146), "", IF(SUMIFS('Annotated Papers'!H:H, 'Annotated Papers'!A:A,A146)&gt;0,1,0))</f>
        <v>1</v>
      </c>
      <c r="G146" t="e">
        <f ca="1">IF(ISBLANK(A146), "", IF(SUMIFS('Annotated Papers'!I:I, 'Annotated Papers'!A:A,A146)&gt;0,1,0))</f>
        <v>#NAME?</v>
      </c>
      <c r="H146">
        <f ca="1">IF(ISBLANK(A146), "", IF(SUMIFS('Annotated Papers'!L:L, 'Annotated Papers'!A:A,A146)&gt;0,1,0))</f>
        <v>0</v>
      </c>
    </row>
    <row r="147" spans="1:8" ht="14">
      <c r="A147" s="25" t="str">
        <f ca="1">IFERROR(__xludf.DUMMYFUNCTION("""COMPUTED_VALUE"""),"An Efficient and Provable Approach for Mixture Proportion Estimation Using Linear Independence Assumption")</f>
        <v>An Efficient and Provable Approach for Mixture Proportion Estimation Using Linear Independence Assumption</v>
      </c>
      <c r="B147" t="str">
        <f ca="1">IF(ISBLANK(A147), "", VLOOKUP(A147,'Annotated Papers'!146:1185,2,FALSE))</f>
        <v>CV</v>
      </c>
      <c r="C147" s="24">
        <f ca="1">IF(ISBLANK(A147), "", VLOOKUP(A147,'Annotated Papers'!146:1185,5,FALSE))</f>
        <v>0</v>
      </c>
      <c r="D147">
        <f ca="1">IF(ISBLANK(A147), "", IF(COUNTIF('Annotated Papers'!A:A,A147)&gt;1,1,0))</f>
        <v>1</v>
      </c>
      <c r="E147">
        <f ca="1">IF(ISBLANK(A147), "", IF(SUMIFS('Annotated Papers'!G:G, 'Annotated Papers'!A:A,A147)&gt;0,1,0))</f>
        <v>0</v>
      </c>
      <c r="F147">
        <f ca="1">IF(ISBLANK(A147), "", IF(SUMIFS('Annotated Papers'!H:H, 'Annotated Papers'!A:A,A147)&gt;0,1,0))</f>
        <v>1</v>
      </c>
      <c r="G147" t="e">
        <f ca="1">IF(ISBLANK(A147), "", IF(SUMIFS('Annotated Papers'!I:I, 'Annotated Papers'!A:A,A147)&gt;0,1,0))</f>
        <v>#NAME?</v>
      </c>
      <c r="H147">
        <f ca="1">IF(ISBLANK(A147), "", IF(SUMIFS('Annotated Papers'!L:L, 'Annotated Papers'!A:A,A147)&gt;0,1,0))</f>
        <v>1</v>
      </c>
    </row>
    <row r="148" spans="1:8" ht="14">
      <c r="A148" s="25" t="str">
        <f ca="1">IFERROR(__xludf.DUMMYFUNCTION("""COMPUTED_VALUE"""),"Learning Spatial-Temporal Regularized Correlation Filters for Visual Tracking")</f>
        <v>Learning Spatial-Temporal Regularized Correlation Filters for Visual Tracking</v>
      </c>
      <c r="B148" t="str">
        <f ca="1">IF(ISBLANK(A148), "", VLOOKUP(A148,'Annotated Papers'!147:1186,2,FALSE))</f>
        <v>CV</v>
      </c>
      <c r="C148" s="24">
        <f ca="1">IF(ISBLANK(A148), "", VLOOKUP(A148,'Annotated Papers'!147:1186,5,FALSE))</f>
        <v>1</v>
      </c>
      <c r="D148">
        <f ca="1">IF(ISBLANK(A148), "", IF(COUNTIF('Annotated Papers'!A:A,A148)&gt;1,1,0))</f>
        <v>1</v>
      </c>
      <c r="E148">
        <f ca="1">IF(ISBLANK(A148), "", IF(SUMIFS('Annotated Papers'!G:G, 'Annotated Papers'!A:A,A148)&gt;0,1,0))</f>
        <v>0</v>
      </c>
      <c r="F148">
        <f ca="1">IF(ISBLANK(A148), "", IF(SUMIFS('Annotated Papers'!H:H, 'Annotated Papers'!A:A,A148)&gt;0,1,0))</f>
        <v>1</v>
      </c>
      <c r="G148" t="e">
        <f ca="1">IF(ISBLANK(A148), "", IF(SUMIFS('Annotated Papers'!I:I, 'Annotated Papers'!A:A,A148)&gt;0,1,0))</f>
        <v>#NAME?</v>
      </c>
      <c r="H148">
        <f ca="1">IF(ISBLANK(A148), "", IF(SUMIFS('Annotated Papers'!L:L, 'Annotated Papers'!A:A,A148)&gt;0,1,0))</f>
        <v>0</v>
      </c>
    </row>
    <row r="149" spans="1:8" ht="14">
      <c r="A149" s="25" t="str">
        <f ca="1">IFERROR(__xludf.DUMMYFUNCTION("""COMPUTED_VALUE"""),"Revisiting Salient Object Detection: Simultaneous Detection, Ranking, and Subitizing of Multiple Salient Objects")</f>
        <v>Revisiting Salient Object Detection: Simultaneous Detection, Ranking, and Subitizing of Multiple Salient Objects</v>
      </c>
      <c r="B149" t="str">
        <f ca="1">IF(ISBLANK(A149), "", VLOOKUP(A149,'Annotated Papers'!148:1187,2,FALSE))</f>
        <v>CV</v>
      </c>
      <c r="C149" s="24">
        <f ca="1">IF(ISBLANK(A149), "", VLOOKUP(A149,'Annotated Papers'!148:1187,5,FALSE))</f>
        <v>0</v>
      </c>
      <c r="D149">
        <f ca="1">IF(ISBLANK(A149), "", IF(COUNTIF('Annotated Papers'!A:A,A149)&gt;1,1,0))</f>
        <v>1</v>
      </c>
      <c r="E149">
        <f ca="1">IF(ISBLANK(A149), "", IF(SUMIFS('Annotated Papers'!G:G, 'Annotated Papers'!A:A,A149)&gt;0,1,0))</f>
        <v>0</v>
      </c>
      <c r="F149">
        <f ca="1">IF(ISBLANK(A149), "", IF(SUMIFS('Annotated Papers'!H:H, 'Annotated Papers'!A:A,A149)&gt;0,1,0))</f>
        <v>1</v>
      </c>
      <c r="G149" t="e">
        <f ca="1">IF(ISBLANK(A149), "", IF(SUMIFS('Annotated Papers'!I:I, 'Annotated Papers'!A:A,A149)&gt;0,1,0))</f>
        <v>#NAME?</v>
      </c>
      <c r="H149">
        <f ca="1">IF(ISBLANK(A149), "", IF(SUMIFS('Annotated Papers'!L:L, 'Annotated Papers'!A:A,A149)&gt;0,1,0))</f>
        <v>0</v>
      </c>
    </row>
    <row r="150" spans="1:8" ht="14">
      <c r="A150" s="25" t="str">
        <f ca="1">IFERROR(__xludf.DUMMYFUNCTION("""COMPUTED_VALUE"""),"Learning Deep Models for Face Anti-Spoofing: Binary or Auxiliary Supervision")</f>
        <v>Learning Deep Models for Face Anti-Spoofing: Binary or Auxiliary Supervision</v>
      </c>
      <c r="B150" t="str">
        <f ca="1">IF(ISBLANK(A150), "", VLOOKUP(A150,'Annotated Papers'!149:1188,2,FALSE))</f>
        <v>CV</v>
      </c>
      <c r="C150" s="24">
        <f ca="1">IF(ISBLANK(A150), "", VLOOKUP(A150,'Annotated Papers'!149:1188,5,FALSE))</f>
        <v>0</v>
      </c>
      <c r="D150">
        <f ca="1">IF(ISBLANK(A150), "", IF(COUNTIF('Annotated Papers'!A:A,A150)&gt;1,1,0))</f>
        <v>1</v>
      </c>
      <c r="E150">
        <f ca="1">IF(ISBLANK(A150), "", IF(SUMIFS('Annotated Papers'!G:G, 'Annotated Papers'!A:A,A150)&gt;0,1,0))</f>
        <v>0</v>
      </c>
      <c r="F150">
        <f ca="1">IF(ISBLANK(A150), "", IF(SUMIFS('Annotated Papers'!H:H, 'Annotated Papers'!A:A,A150)&gt;0,1,0))</f>
        <v>1</v>
      </c>
      <c r="G150" t="e">
        <f ca="1">IF(ISBLANK(A150), "", IF(SUMIFS('Annotated Papers'!I:I, 'Annotated Papers'!A:A,A150)&gt;0,1,0))</f>
        <v>#NAME?</v>
      </c>
      <c r="H150">
        <f ca="1">IF(ISBLANK(A150), "", IF(SUMIFS('Annotated Papers'!L:L, 'Annotated Papers'!A:A,A150)&gt;0,1,0))</f>
        <v>1</v>
      </c>
    </row>
    <row r="151" spans="1:8" ht="14">
      <c r="A151" s="25" t="str">
        <f ca="1">IFERROR(__xludf.DUMMYFUNCTION("""COMPUTED_VALUE"""),"Human Appearance Transfer")</f>
        <v>Human Appearance Transfer</v>
      </c>
      <c r="B151" t="str">
        <f ca="1">IF(ISBLANK(A151), "", VLOOKUP(A151,'Annotated Papers'!150:1189,2,FALSE))</f>
        <v>CV</v>
      </c>
      <c r="C151" s="24">
        <f ca="1">IF(ISBLANK(A151), "", VLOOKUP(A151,'Annotated Papers'!150:1189,5,FALSE))</f>
        <v>0</v>
      </c>
      <c r="D151">
        <f ca="1">IF(ISBLANK(A151), "", IF(COUNTIF('Annotated Papers'!A:A,A151)&gt;1,1,0))</f>
        <v>0</v>
      </c>
      <c r="E151">
        <f ca="1">IF(ISBLANK(A151), "", IF(SUMIFS('Annotated Papers'!G:G, 'Annotated Papers'!A:A,A151)&gt;0,1,0))</f>
        <v>0</v>
      </c>
      <c r="F151">
        <f ca="1">IF(ISBLANK(A151), "", IF(SUMIFS('Annotated Papers'!H:H, 'Annotated Papers'!A:A,A151)&gt;0,1,0))</f>
        <v>1</v>
      </c>
      <c r="G151" t="e">
        <f ca="1">IF(ISBLANK(A151), "", IF(SUMIFS('Annotated Papers'!I:I, 'Annotated Papers'!A:A,A151)&gt;0,1,0))</f>
        <v>#NAME?</v>
      </c>
      <c r="H151">
        <f ca="1">IF(ISBLANK(A151), "", IF(SUMIFS('Annotated Papers'!L:L, 'Annotated Papers'!A:A,A151)&gt;0,1,0))</f>
        <v>1</v>
      </c>
    </row>
    <row r="152" spans="1:8" ht="14">
      <c r="A152" s="25" t="str">
        <f ca="1">IFERROR(__xludf.DUMMYFUNCTION("""COMPUTED_VALUE"""),"Style Aggregated Network for Facial Landmark Detection")</f>
        <v>Style Aggregated Network for Facial Landmark Detection</v>
      </c>
      <c r="B152" t="str">
        <f ca="1">IF(ISBLANK(A152), "", VLOOKUP(A152,'Annotated Papers'!151:1190,2,FALSE))</f>
        <v>CV</v>
      </c>
      <c r="C152" s="24">
        <f ca="1">IF(ISBLANK(A152), "", VLOOKUP(A152,'Annotated Papers'!151:1190,5,FALSE))</f>
        <v>1</v>
      </c>
      <c r="D152">
        <f ca="1">IF(ISBLANK(A152), "", IF(COUNTIF('Annotated Papers'!A:A,A152)&gt;1,1,0))</f>
        <v>1</v>
      </c>
      <c r="E152">
        <f ca="1">IF(ISBLANK(A152), "", IF(SUMIFS('Annotated Papers'!G:G, 'Annotated Papers'!A:A,A152)&gt;0,1,0))</f>
        <v>0</v>
      </c>
      <c r="F152">
        <f ca="1">IF(ISBLANK(A152), "", IF(SUMIFS('Annotated Papers'!H:H, 'Annotated Papers'!A:A,A152)&gt;0,1,0))</f>
        <v>1</v>
      </c>
      <c r="G152" t="e">
        <f ca="1">IF(ISBLANK(A152), "", IF(SUMIFS('Annotated Papers'!I:I, 'Annotated Papers'!A:A,A152)&gt;0,1,0))</f>
        <v>#NAME?</v>
      </c>
      <c r="H152">
        <f ca="1">IF(ISBLANK(A152), "", IF(SUMIFS('Annotated Papers'!L:L, 'Annotated Papers'!A:A,A152)&gt;0,1,0))</f>
        <v>0</v>
      </c>
    </row>
    <row r="153" spans="1:8" ht="14">
      <c r="A153" s="25" t="str">
        <f ca="1">IFERROR(__xludf.DUMMYFUNCTION("""COMPUTED_VALUE"""),"Efficient Optimization for Rank-Based Loss Functions")</f>
        <v>Efficient Optimization for Rank-Based Loss Functions</v>
      </c>
      <c r="B153" t="str">
        <f ca="1">IF(ISBLANK(A153), "", VLOOKUP(A153,'Annotated Papers'!152:1191,2,FALSE))</f>
        <v>CV</v>
      </c>
      <c r="C153" s="24">
        <f ca="1">IF(ISBLANK(A153), "", VLOOKUP(A153,'Annotated Papers'!152:1191,5,FALSE))</f>
        <v>0</v>
      </c>
      <c r="D153">
        <f ca="1">IF(ISBLANK(A153), "", IF(COUNTIF('Annotated Papers'!A:A,A153)&gt;1,1,0))</f>
        <v>1</v>
      </c>
      <c r="E153">
        <f ca="1">IF(ISBLANK(A153), "", IF(SUMIFS('Annotated Papers'!G:G, 'Annotated Papers'!A:A,A153)&gt;0,1,0))</f>
        <v>0</v>
      </c>
      <c r="F153">
        <f ca="1">IF(ISBLANK(A153), "", IF(SUMIFS('Annotated Papers'!H:H, 'Annotated Papers'!A:A,A153)&gt;0,1,0))</f>
        <v>1</v>
      </c>
      <c r="G153" t="e">
        <f ca="1">IF(ISBLANK(A153), "", IF(SUMIFS('Annotated Papers'!I:I, 'Annotated Papers'!A:A,A153)&gt;0,1,0))</f>
        <v>#NAME?</v>
      </c>
      <c r="H153">
        <f ca="1">IF(ISBLANK(A153), "", IF(SUMIFS('Annotated Papers'!L:L, 'Annotated Papers'!A:A,A153)&gt;0,1,0))</f>
        <v>1</v>
      </c>
    </row>
    <row r="154" spans="1:8" ht="14">
      <c r="A154" s="25" t="str">
        <f ca="1">IFERROR(__xludf.DUMMYFUNCTION("""COMPUTED_VALUE"""),"Two-Step Quantization for Low-Bit Neural Networks")</f>
        <v>Two-Step Quantization for Low-Bit Neural Networks</v>
      </c>
      <c r="B154" t="str">
        <f ca="1">IF(ISBLANK(A154), "", VLOOKUP(A154,'Annotated Papers'!153:1192,2,FALSE))</f>
        <v>CV</v>
      </c>
      <c r="C154" s="24">
        <f ca="1">IF(ISBLANK(A154), "", VLOOKUP(A154,'Annotated Papers'!153:1192,5,FALSE))</f>
        <v>0</v>
      </c>
      <c r="D154">
        <f ca="1">IF(ISBLANK(A154), "", IF(COUNTIF('Annotated Papers'!A:A,A154)&gt;1,1,0))</f>
        <v>1</v>
      </c>
      <c r="E154">
        <f ca="1">IF(ISBLANK(A154), "", IF(SUMIFS('Annotated Papers'!G:G, 'Annotated Papers'!A:A,A154)&gt;0,1,0))</f>
        <v>0</v>
      </c>
      <c r="F154">
        <f ca="1">IF(ISBLANK(A154), "", IF(SUMIFS('Annotated Papers'!H:H, 'Annotated Papers'!A:A,A154)&gt;0,1,0))</f>
        <v>1</v>
      </c>
      <c r="G154" t="e">
        <f ca="1">IF(ISBLANK(A154), "", IF(SUMIFS('Annotated Papers'!I:I, 'Annotated Papers'!A:A,A154)&gt;0,1,0))</f>
        <v>#NAME?</v>
      </c>
      <c r="H154">
        <f ca="1">IF(ISBLANK(A154), "", IF(SUMIFS('Annotated Papers'!L:L, 'Annotated Papers'!A:A,A154)&gt;0,1,0))</f>
        <v>0</v>
      </c>
    </row>
    <row r="155" spans="1:8" ht="14">
      <c r="A155" s="25" t="str">
        <f ca="1">IFERROR(__xludf.DUMMYFUNCTION("""COMPUTED_VALUE"""),"Deep Hashing via Discrepancy Minimization")</f>
        <v>Deep Hashing via Discrepancy Minimization</v>
      </c>
      <c r="B155" t="str">
        <f ca="1">IF(ISBLANK(A155), "", VLOOKUP(A155,'Annotated Papers'!154:1193,2,FALSE))</f>
        <v>CV</v>
      </c>
      <c r="C155" s="24">
        <f ca="1">IF(ISBLANK(A155), "", VLOOKUP(A155,'Annotated Papers'!154:1193,5,FALSE))</f>
        <v>0</v>
      </c>
      <c r="D155">
        <f ca="1">IF(ISBLANK(A155), "", IF(COUNTIF('Annotated Papers'!A:A,A155)&gt;1,1,0))</f>
        <v>1</v>
      </c>
      <c r="E155">
        <f ca="1">IF(ISBLANK(A155), "", IF(SUMIFS('Annotated Papers'!G:G, 'Annotated Papers'!A:A,A155)&gt;0,1,0))</f>
        <v>0</v>
      </c>
      <c r="F155">
        <f ca="1">IF(ISBLANK(A155), "", IF(SUMIFS('Annotated Papers'!H:H, 'Annotated Papers'!A:A,A155)&gt;0,1,0))</f>
        <v>1</v>
      </c>
      <c r="G155" t="e">
        <f ca="1">IF(ISBLANK(A155), "", IF(SUMIFS('Annotated Papers'!I:I, 'Annotated Papers'!A:A,A155)&gt;0,1,0))</f>
        <v>#NAME?</v>
      </c>
      <c r="H155">
        <f ca="1">IF(ISBLANK(A155), "", IF(SUMIFS('Annotated Papers'!L:L, 'Annotated Papers'!A:A,A155)&gt;0,1,0))</f>
        <v>0</v>
      </c>
    </row>
    <row r="156" spans="1:8" ht="14">
      <c r="A156" s="25" t="str">
        <f ca="1">IFERROR(__xludf.DUMMYFUNCTION("""COMPUTED_VALUE"""),"Learning Single-View 3D Reconstruction with Limited Pose Supervision")</f>
        <v>Learning Single-View 3D Reconstruction with Limited Pose Supervision</v>
      </c>
      <c r="B156" t="str">
        <f ca="1">IF(ISBLANK(A156), "", VLOOKUP(A156,'Annotated Papers'!155:1194,2,FALSE))</f>
        <v>CV</v>
      </c>
      <c r="C156" s="24">
        <f ca="1">IF(ISBLANK(A156), "", VLOOKUP(A156,'Annotated Papers'!155:1194,5,FALSE))</f>
        <v>1</v>
      </c>
      <c r="D156">
        <f ca="1">IF(ISBLANK(A156), "", IF(COUNTIF('Annotated Papers'!A:A,A156)&gt;1,1,0))</f>
        <v>0</v>
      </c>
      <c r="E156">
        <f ca="1">IF(ISBLANK(A156), "", IF(SUMIFS('Annotated Papers'!G:G, 'Annotated Papers'!A:A,A156)&gt;0,1,0))</f>
        <v>0</v>
      </c>
      <c r="F156">
        <f ca="1">IF(ISBLANK(A156), "", IF(SUMIFS('Annotated Papers'!H:H, 'Annotated Papers'!A:A,A156)&gt;0,1,0))</f>
        <v>1</v>
      </c>
      <c r="G156" t="e">
        <f ca="1">IF(ISBLANK(A156), "", IF(SUMIFS('Annotated Papers'!I:I, 'Annotated Papers'!A:A,A156)&gt;0,1,0))</f>
        <v>#NAME?</v>
      </c>
      <c r="H156">
        <f ca="1">IF(ISBLANK(A156), "", IF(SUMIFS('Annotated Papers'!L:L, 'Annotated Papers'!A:A,A156)&gt;0,1,0))</f>
        <v>0</v>
      </c>
    </row>
    <row r="157" spans="1:8" ht="14">
      <c r="A157" s="25" t="str">
        <f ca="1">IFERROR(__xludf.DUMMYFUNCTION("""COMPUTED_VALUE"""),"Joint 3D Face Reconstruction and Dense Alignment with Position Map Regression Network")</f>
        <v>Joint 3D Face Reconstruction and Dense Alignment with Position Map Regression Network</v>
      </c>
      <c r="B157" t="str">
        <f ca="1">IF(ISBLANK(A157), "", VLOOKUP(A157,'Annotated Papers'!156:1195,2,FALSE))</f>
        <v>CV</v>
      </c>
      <c r="C157" s="24">
        <f ca="1">IF(ISBLANK(A157), "", VLOOKUP(A157,'Annotated Papers'!156:1195,5,FALSE))</f>
        <v>1</v>
      </c>
      <c r="D157">
        <f ca="1">IF(ISBLANK(A157), "", IF(COUNTIF('Annotated Papers'!A:A,A157)&gt;1,1,0))</f>
        <v>1</v>
      </c>
      <c r="E157">
        <f ca="1">IF(ISBLANK(A157), "", IF(SUMIFS('Annotated Papers'!G:G, 'Annotated Papers'!A:A,A157)&gt;0,1,0))</f>
        <v>0</v>
      </c>
      <c r="F157">
        <f ca="1">IF(ISBLANK(A157), "", IF(SUMIFS('Annotated Papers'!H:H, 'Annotated Papers'!A:A,A157)&gt;0,1,0))</f>
        <v>1</v>
      </c>
      <c r="G157" t="e">
        <f ca="1">IF(ISBLANK(A157), "", IF(SUMIFS('Annotated Papers'!I:I, 'Annotated Papers'!A:A,A157)&gt;0,1,0))</f>
        <v>#NAME?</v>
      </c>
      <c r="H157">
        <f ca="1">IF(ISBLANK(A157), "", IF(SUMIFS('Annotated Papers'!L:L, 'Annotated Papers'!A:A,A157)&gt;0,1,0))</f>
        <v>0</v>
      </c>
    </row>
    <row r="158" spans="1:8" ht="14">
      <c r="A158" s="25" t="str">
        <f ca="1">IFERROR(__xludf.DUMMYFUNCTION("""COMPUTED_VALUE"""),"Joint Learning of Intrinsic Images and Semantic Segmentation")</f>
        <v>Joint Learning of Intrinsic Images and Semantic Segmentation</v>
      </c>
      <c r="B158" t="str">
        <f ca="1">IF(ISBLANK(A158), "", VLOOKUP(A158,'Annotated Papers'!157:1196,2,FALSE))</f>
        <v>CV</v>
      </c>
      <c r="C158" s="24">
        <f ca="1">IF(ISBLANK(A158), "", VLOOKUP(A158,'Annotated Papers'!157:1196,5,FALSE))</f>
        <v>1</v>
      </c>
      <c r="D158">
        <f ca="1">IF(ISBLANK(A158), "", IF(COUNTIF('Annotated Papers'!A:A,A158)&gt;1,1,0))</f>
        <v>0</v>
      </c>
      <c r="E158">
        <f ca="1">IF(ISBLANK(A158), "", IF(SUMIFS('Annotated Papers'!G:G, 'Annotated Papers'!A:A,A158)&gt;0,1,0))</f>
        <v>0</v>
      </c>
      <c r="F158">
        <f ca="1">IF(ISBLANK(A158), "", IF(SUMIFS('Annotated Papers'!H:H, 'Annotated Papers'!A:A,A158)&gt;0,1,0))</f>
        <v>1</v>
      </c>
      <c r="G158" t="e">
        <f ca="1">IF(ISBLANK(A158), "", IF(SUMIFS('Annotated Papers'!I:I, 'Annotated Papers'!A:A,A158)&gt;0,1,0))</f>
        <v>#NAME?</v>
      </c>
      <c r="H158">
        <f ca="1">IF(ISBLANK(A158), "", IF(SUMIFS('Annotated Papers'!L:L, 'Annotated Papers'!A:A,A158)&gt;0,1,0))</f>
        <v>1</v>
      </c>
    </row>
    <row r="159" spans="1:8" ht="14">
      <c r="A159" s="25" t="str">
        <f ca="1">IFERROR(__xludf.DUMMYFUNCTION("""COMPUTED_VALUE"""),"PersonLab: Person Pose Estimation and Instance Segmentation with a Bottom-Up, Part-Based, Geometric Embedding Model")</f>
        <v>PersonLab: Person Pose Estimation and Instance Segmentation with a Bottom-Up, Part-Based, Geometric Embedding Model</v>
      </c>
      <c r="B159" t="str">
        <f ca="1">IF(ISBLANK(A159), "", VLOOKUP(A159,'Annotated Papers'!158:1197,2,FALSE))</f>
        <v>CV</v>
      </c>
      <c r="C159" s="24">
        <f ca="1">IF(ISBLANK(A159), "", VLOOKUP(A159,'Annotated Papers'!158:1197,5,FALSE))</f>
        <v>0</v>
      </c>
      <c r="D159">
        <f ca="1">IF(ISBLANK(A159), "", IF(COUNTIF('Annotated Papers'!A:A,A159)&gt;1,1,0))</f>
        <v>0</v>
      </c>
      <c r="E159">
        <f ca="1">IF(ISBLANK(A159), "", IF(SUMIFS('Annotated Papers'!G:G, 'Annotated Papers'!A:A,A159)&gt;0,1,0))</f>
        <v>0</v>
      </c>
      <c r="F159">
        <f ca="1">IF(ISBLANK(A159), "", IF(SUMIFS('Annotated Papers'!H:H, 'Annotated Papers'!A:A,A159)&gt;0,1,0))</f>
        <v>1</v>
      </c>
      <c r="G159" t="e">
        <f ca="1">IF(ISBLANK(A159), "", IF(SUMIFS('Annotated Papers'!I:I, 'Annotated Papers'!A:A,A159)&gt;0,1,0))</f>
        <v>#NAME?</v>
      </c>
      <c r="H159">
        <f ca="1">IF(ISBLANK(A159), "", IF(SUMIFS('Annotated Papers'!L:L, 'Annotated Papers'!A:A,A159)&gt;0,1,0))</f>
        <v>0</v>
      </c>
    </row>
    <row r="160" spans="1:8" ht="14">
      <c r="A160" s="25" t="str">
        <f ca="1">IFERROR(__xludf.DUMMYFUNCTION("""COMPUTED_VALUE"""),"Group Normalization")</f>
        <v>Group Normalization</v>
      </c>
      <c r="B160" t="str">
        <f ca="1">IF(ISBLANK(A160), "", VLOOKUP(A160,'Annotated Papers'!159:1198,2,FALSE))</f>
        <v>CV</v>
      </c>
      <c r="C160" s="24">
        <f ca="1">IF(ISBLANK(A160), "", VLOOKUP(A160,'Annotated Papers'!159:1198,5,FALSE))</f>
        <v>1</v>
      </c>
      <c r="D160">
        <f ca="1">IF(ISBLANK(A160), "", IF(COUNTIF('Annotated Papers'!A:A,A160)&gt;1,1,0))</f>
        <v>1</v>
      </c>
      <c r="E160">
        <f ca="1">IF(ISBLANK(A160), "", IF(SUMIFS('Annotated Papers'!G:G, 'Annotated Papers'!A:A,A160)&gt;0,1,0))</f>
        <v>0</v>
      </c>
      <c r="F160">
        <f ca="1">IF(ISBLANK(A160), "", IF(SUMIFS('Annotated Papers'!H:H, 'Annotated Papers'!A:A,A160)&gt;0,1,0))</f>
        <v>1</v>
      </c>
      <c r="G160" t="e">
        <f ca="1">IF(ISBLANK(A160), "", IF(SUMIFS('Annotated Papers'!I:I, 'Annotated Papers'!A:A,A160)&gt;0,1,0))</f>
        <v>#NAME?</v>
      </c>
      <c r="H160">
        <f ca="1">IF(ISBLANK(A160), "", IF(SUMIFS('Annotated Papers'!L:L, 'Annotated Papers'!A:A,A160)&gt;0,1,0))</f>
        <v>0</v>
      </c>
    </row>
    <row r="161" spans="1:8" ht="14">
      <c r="A161" s="25" t="str">
        <f ca="1">IFERROR(__xludf.DUMMYFUNCTION("""COMPUTED_VALUE"""),"WildDash - Creating Hazard-Aware Benchmarks")</f>
        <v>WildDash - Creating Hazard-Aware Benchmarks</v>
      </c>
      <c r="B161" t="str">
        <f ca="1">IF(ISBLANK(A161), "", VLOOKUP(A161,'Annotated Papers'!160:1199,2,FALSE))</f>
        <v>CV</v>
      </c>
      <c r="C161" s="24">
        <f ca="1">IF(ISBLANK(A161), "", VLOOKUP(A161,'Annotated Papers'!160:1199,5,FALSE))</f>
        <v>0</v>
      </c>
      <c r="D161">
        <f ca="1">IF(ISBLANK(A161), "", IF(COUNTIF('Annotated Papers'!A:A,A161)&gt;1,1,0))</f>
        <v>0</v>
      </c>
      <c r="E161">
        <f ca="1">IF(ISBLANK(A161), "", IF(SUMIFS('Annotated Papers'!G:G, 'Annotated Papers'!A:A,A161)&gt;0,1,0))</f>
        <v>0</v>
      </c>
      <c r="F161">
        <f ca="1">IF(ISBLANK(A161), "", IF(SUMIFS('Annotated Papers'!H:H, 'Annotated Papers'!A:A,A161)&gt;0,1,0))</f>
        <v>1</v>
      </c>
      <c r="G161" t="e">
        <f ca="1">IF(ISBLANK(A161), "", IF(SUMIFS('Annotated Papers'!I:I, 'Annotated Papers'!A:A,A161)&gt;0,1,0))</f>
        <v>#NAME?</v>
      </c>
      <c r="H161">
        <f ca="1">IF(ISBLANK(A161), "", IF(SUMIFS('Annotated Papers'!L:L, 'Annotated Papers'!A:A,A161)&gt;0,1,0))</f>
        <v>0</v>
      </c>
    </row>
    <row r="162" spans="1:8" ht="14">
      <c r="A162" s="25" t="str">
        <f ca="1">IFERROR(__xludf.DUMMYFUNCTION("""COMPUTED_VALUE"""),"Learning Discriminative Video Representations Using Adversarial Perturbations")</f>
        <v>Learning Discriminative Video Representations Using Adversarial Perturbations</v>
      </c>
      <c r="B162" t="str">
        <f ca="1">IF(ISBLANK(A162), "", VLOOKUP(A162,'Annotated Papers'!161:1200,2,FALSE))</f>
        <v>CV</v>
      </c>
      <c r="C162" s="24">
        <f ca="1">IF(ISBLANK(A162), "", VLOOKUP(A162,'Annotated Papers'!161:1200,5,FALSE))</f>
        <v>0</v>
      </c>
      <c r="D162">
        <f ca="1">IF(ISBLANK(A162), "", IF(COUNTIF('Annotated Papers'!A:A,A162)&gt;1,1,0))</f>
        <v>1</v>
      </c>
      <c r="E162">
        <f ca="1">IF(ISBLANK(A162), "", IF(SUMIFS('Annotated Papers'!G:G, 'Annotated Papers'!A:A,A162)&gt;0,1,0))</f>
        <v>0</v>
      </c>
      <c r="F162">
        <f ca="1">IF(ISBLANK(A162), "", IF(SUMIFS('Annotated Papers'!H:H, 'Annotated Papers'!A:A,A162)&gt;0,1,0))</f>
        <v>1</v>
      </c>
      <c r="G162" t="e">
        <f ca="1">IF(ISBLANK(A162), "", IF(SUMIFS('Annotated Papers'!I:I, 'Annotated Papers'!A:A,A162)&gt;0,1,0))</f>
        <v>#NAME?</v>
      </c>
      <c r="H162">
        <f ca="1">IF(ISBLANK(A162), "", IF(SUMIFS('Annotated Papers'!L:L, 'Annotated Papers'!A:A,A162)&gt;0,1,0))</f>
        <v>0</v>
      </c>
    </row>
    <row r="163" spans="1:8" ht="14">
      <c r="A163" s="25" t="str">
        <f ca="1">IFERROR(__xludf.DUMMYFUNCTION("""COMPUTED_VALUE"""),"Face Recognition with Contrastive Convolution")</f>
        <v>Face Recognition with Contrastive Convolution</v>
      </c>
      <c r="B163" t="str">
        <f ca="1">IF(ISBLANK(A163), "", VLOOKUP(A163,'Annotated Papers'!162:1201,2,FALSE))</f>
        <v>CV</v>
      </c>
      <c r="C163" s="24">
        <f ca="1">IF(ISBLANK(A163), "", VLOOKUP(A163,'Annotated Papers'!162:1201,5,FALSE))</f>
        <v>0</v>
      </c>
      <c r="D163">
        <f ca="1">IF(ISBLANK(A163), "", IF(COUNTIF('Annotated Papers'!A:A,A163)&gt;1,1,0))</f>
        <v>1</v>
      </c>
      <c r="E163">
        <f ca="1">IF(ISBLANK(A163), "", IF(SUMIFS('Annotated Papers'!G:G, 'Annotated Papers'!A:A,A163)&gt;0,1,0))</f>
        <v>0</v>
      </c>
      <c r="F163">
        <f ca="1">IF(ISBLANK(A163), "", IF(SUMIFS('Annotated Papers'!H:H, 'Annotated Papers'!A:A,A163)&gt;0,1,0))</f>
        <v>1</v>
      </c>
      <c r="G163" t="e">
        <f ca="1">IF(ISBLANK(A163), "", IF(SUMIFS('Annotated Papers'!I:I, 'Annotated Papers'!A:A,A163)&gt;0,1,0))</f>
        <v>#NAME?</v>
      </c>
      <c r="H163">
        <f ca="1">IF(ISBLANK(A163), "", IF(SUMIFS('Annotated Papers'!L:L, 'Annotated Papers'!A:A,A163)&gt;0,1,0))</f>
        <v>0</v>
      </c>
    </row>
    <row r="164" spans="1:8" ht="14">
      <c r="A164" s="25" t="str">
        <f ca="1">IFERROR(__xludf.DUMMYFUNCTION("""COMPUTED_VALUE"""),"Quadtree Convolutional Neural Networks")</f>
        <v>Quadtree Convolutional Neural Networks</v>
      </c>
      <c r="B164" t="str">
        <f ca="1">IF(ISBLANK(A164), "", VLOOKUP(A164,'Annotated Papers'!163:1202,2,FALSE))</f>
        <v>CV</v>
      </c>
      <c r="C164" s="24">
        <f ca="1">IF(ISBLANK(A164), "", VLOOKUP(A164,'Annotated Papers'!163:1202,5,FALSE))</f>
        <v>0</v>
      </c>
      <c r="D164">
        <f ca="1">IF(ISBLANK(A164), "", IF(COUNTIF('Annotated Papers'!A:A,A164)&gt;1,1,0))</f>
        <v>1</v>
      </c>
      <c r="E164">
        <f ca="1">IF(ISBLANK(A164), "", IF(SUMIFS('Annotated Papers'!G:G, 'Annotated Papers'!A:A,A164)&gt;0,1,0))</f>
        <v>0</v>
      </c>
      <c r="F164">
        <f ca="1">IF(ISBLANK(A164), "", IF(SUMIFS('Annotated Papers'!H:H, 'Annotated Papers'!A:A,A164)&gt;0,1,0))</f>
        <v>1</v>
      </c>
      <c r="G164" t="e">
        <f ca="1">IF(ISBLANK(A164), "", IF(SUMIFS('Annotated Papers'!I:I, 'Annotated Papers'!A:A,A164)&gt;0,1,0))</f>
        <v>#NAME?</v>
      </c>
      <c r="H164">
        <f ca="1">IF(ISBLANK(A164), "", IF(SUMIFS('Annotated Papers'!L:L, 'Annotated Papers'!A:A,A164)&gt;0,1,0))</f>
        <v>0</v>
      </c>
    </row>
    <row r="165" spans="1:8" ht="14">
      <c r="A165" s="25" t="str">
        <f ca="1">IFERROR(__xludf.DUMMYFUNCTION("""COMPUTED_VALUE"""),"Attend and Rectify: a gated attention mechanism for fine-grained recovery")</f>
        <v>Attend and Rectify: a gated attention mechanism for fine-grained recovery</v>
      </c>
      <c r="B165" t="str">
        <f ca="1">IF(ISBLANK(A165), "", VLOOKUP(A165,'Annotated Papers'!164:1203,2,FALSE))</f>
        <v>CV</v>
      </c>
      <c r="C165" s="24">
        <f ca="1">IF(ISBLANK(A165), "", VLOOKUP(A165,'Annotated Papers'!164:1203,5,FALSE))</f>
        <v>1</v>
      </c>
      <c r="D165">
        <f ca="1">IF(ISBLANK(A165), "", IF(COUNTIF('Annotated Papers'!A:A,A165)&gt;1,1,0))</f>
        <v>1</v>
      </c>
      <c r="E165">
        <f ca="1">IF(ISBLANK(A165), "", IF(SUMIFS('Annotated Papers'!G:G, 'Annotated Papers'!A:A,A165)&gt;0,1,0))</f>
        <v>0</v>
      </c>
      <c r="F165">
        <f ca="1">IF(ISBLANK(A165), "", IF(SUMIFS('Annotated Papers'!H:H, 'Annotated Papers'!A:A,A165)&gt;0,1,0))</f>
        <v>1</v>
      </c>
      <c r="G165" t="e">
        <f ca="1">IF(ISBLANK(A165), "", IF(SUMIFS('Annotated Papers'!I:I, 'Annotated Papers'!A:A,A165)&gt;0,1,0))</f>
        <v>#NAME?</v>
      </c>
      <c r="H165">
        <f ca="1">IF(ISBLANK(A165), "", IF(SUMIFS('Annotated Papers'!L:L, 'Annotated Papers'!A:A,A165)&gt;0,1,0))</f>
        <v>0</v>
      </c>
    </row>
    <row r="166" spans="1:8" ht="14">
      <c r="A166" s="25" t="str">
        <f ca="1">IFERROR(__xludf.DUMMYFUNCTION("""COMPUTED_VALUE"""),"Depth Estimation Using Structured Light Flow -- Analysis of Projected Pattern Flow on an Object's Surface")</f>
        <v>Depth Estimation Using Structured Light Flow -- Analysis of Projected Pattern Flow on an Object's Surface</v>
      </c>
      <c r="B166" t="str">
        <f ca="1">IF(ISBLANK(A166), "", VLOOKUP(A166,'Annotated Papers'!165:1204,2,FALSE))</f>
        <v>CV</v>
      </c>
      <c r="C166" s="24">
        <f ca="1">IF(ISBLANK(A166), "", VLOOKUP(A166,'Annotated Papers'!165:1204,5,FALSE))</f>
        <v>0</v>
      </c>
      <c r="D166">
        <f ca="1">IF(ISBLANK(A166), "", IF(COUNTIF('Annotated Papers'!A:A,A166)&gt;1,1,0))</f>
        <v>1</v>
      </c>
      <c r="E166">
        <f ca="1">IF(ISBLANK(A166), "", IF(SUMIFS('Annotated Papers'!G:G, 'Annotated Papers'!A:A,A166)&gt;0,1,0))</f>
        <v>0</v>
      </c>
      <c r="F166">
        <f ca="1">IF(ISBLANK(A166), "", IF(SUMIFS('Annotated Papers'!H:H, 'Annotated Papers'!A:A,A166)&gt;0,1,0))</f>
        <v>0</v>
      </c>
      <c r="G166" t="e">
        <f ca="1">IF(ISBLANK(A166), "", IF(SUMIFS('Annotated Papers'!I:I, 'Annotated Papers'!A:A,A166)&gt;0,1,0))</f>
        <v>#NAME?</v>
      </c>
      <c r="H166">
        <f ca="1">IF(ISBLANK(A166), "", IF(SUMIFS('Annotated Papers'!L:L, 'Annotated Papers'!A:A,A166)&gt;0,1,0))</f>
        <v>0</v>
      </c>
    </row>
    <row r="167" spans="1:8" ht="14">
      <c r="A167" s="25" t="str">
        <f ca="1">IFERROR(__xludf.DUMMYFUNCTION("""COMPUTED_VALUE"""),"Predicting Deeper Into the Future of Semantic Segmentation")</f>
        <v>Predicting Deeper Into the Future of Semantic Segmentation</v>
      </c>
      <c r="B167" t="str">
        <f ca="1">IF(ISBLANK(A167), "", VLOOKUP(A167,'Annotated Papers'!166:1205,2,FALSE))</f>
        <v>CV</v>
      </c>
      <c r="C167" s="24">
        <f ca="1">IF(ISBLANK(A167), "", VLOOKUP(A167,'Annotated Papers'!166:1205,5,FALSE))</f>
        <v>0</v>
      </c>
      <c r="D167">
        <f ca="1">IF(ISBLANK(A167), "", IF(COUNTIF('Annotated Papers'!A:A,A167)&gt;1,1,0))</f>
        <v>1</v>
      </c>
      <c r="E167">
        <f ca="1">IF(ISBLANK(A167), "", IF(SUMIFS('Annotated Papers'!G:G, 'Annotated Papers'!A:A,A167)&gt;0,1,0))</f>
        <v>0</v>
      </c>
      <c r="F167">
        <f ca="1">IF(ISBLANK(A167), "", IF(SUMIFS('Annotated Papers'!H:H, 'Annotated Papers'!A:A,A167)&gt;0,1,0))</f>
        <v>1</v>
      </c>
      <c r="G167" t="e">
        <f ca="1">IF(ISBLANK(A167), "", IF(SUMIFS('Annotated Papers'!I:I, 'Annotated Papers'!A:A,A167)&gt;0,1,0))</f>
        <v>#NAME?</v>
      </c>
      <c r="H167">
        <f ca="1">IF(ISBLANK(A167), "", IF(SUMIFS('Annotated Papers'!L:L, 'Annotated Papers'!A:A,A167)&gt;0,1,0))</f>
        <v>0</v>
      </c>
    </row>
    <row r="168" spans="1:8" ht="14">
      <c r="A168" s="25" t="str">
        <f ca="1">IFERROR(__xludf.DUMMYFUNCTION("""COMPUTED_VALUE"""),"Bounding Boxes, Segmentations and Object Coordinates: How Important Is Recognition for 3D Scene Flow Estimation in Autonomous Driving Scenarios?")</f>
        <v>Bounding Boxes, Segmentations and Object Coordinates: How Important Is Recognition for 3D Scene Flow Estimation in Autonomous Driving Scenarios?</v>
      </c>
      <c r="B168" t="str">
        <f ca="1">IF(ISBLANK(A168), "", VLOOKUP(A168,'Annotated Papers'!167:1206,2,FALSE))</f>
        <v>CV</v>
      </c>
      <c r="C168" s="24">
        <f ca="1">IF(ISBLANK(A168), "", VLOOKUP(A168,'Annotated Papers'!167:1206,5,FALSE))</f>
        <v>1</v>
      </c>
      <c r="D168">
        <f ca="1">IF(ISBLANK(A168), "", IF(COUNTIF('Annotated Papers'!A:A,A168)&gt;1,1,0))</f>
        <v>1</v>
      </c>
      <c r="E168">
        <f ca="1">IF(ISBLANK(A168), "", IF(SUMIFS('Annotated Papers'!G:G, 'Annotated Papers'!A:A,A168)&gt;0,1,0))</f>
        <v>0</v>
      </c>
      <c r="F168">
        <f ca="1">IF(ISBLANK(A168), "", IF(SUMIFS('Annotated Papers'!H:H, 'Annotated Papers'!A:A,A168)&gt;0,1,0))</f>
        <v>1</v>
      </c>
      <c r="G168" t="e">
        <f ca="1">IF(ISBLANK(A168), "", IF(SUMIFS('Annotated Papers'!I:I, 'Annotated Papers'!A:A,A168)&gt;0,1,0))</f>
        <v>#NAME?</v>
      </c>
      <c r="H168">
        <f ca="1">IF(ISBLANK(A168), "", IF(SUMIFS('Annotated Papers'!L:L, 'Annotated Papers'!A:A,A168)&gt;0,1,0))</f>
        <v>0</v>
      </c>
    </row>
    <row r="169" spans="1:8" ht="14">
      <c r="A169" s="25" t="str">
        <f ca="1">IFERROR(__xludf.DUMMYFUNCTION("""COMPUTED_VALUE"""),"Video Frame Synthesis Using Deep Voxel Flow")</f>
        <v>Video Frame Synthesis Using Deep Voxel Flow</v>
      </c>
      <c r="B169" t="str">
        <f ca="1">IF(ISBLANK(A169), "", VLOOKUP(A169,'Annotated Papers'!168:1207,2,FALSE))</f>
        <v>CV</v>
      </c>
      <c r="C169" s="24">
        <f ca="1">IF(ISBLANK(A169), "", VLOOKUP(A169,'Annotated Papers'!168:1207,5,FALSE))</f>
        <v>1</v>
      </c>
      <c r="D169">
        <f ca="1">IF(ISBLANK(A169), "", IF(COUNTIF('Annotated Papers'!A:A,A169)&gt;1,1,0))</f>
        <v>1</v>
      </c>
      <c r="E169">
        <f ca="1">IF(ISBLANK(A169), "", IF(SUMIFS('Annotated Papers'!G:G, 'Annotated Papers'!A:A,A169)&gt;0,1,0))</f>
        <v>0</v>
      </c>
      <c r="F169">
        <f ca="1">IF(ISBLANK(A169), "", IF(SUMIFS('Annotated Papers'!H:H, 'Annotated Papers'!A:A,A169)&gt;0,1,0))</f>
        <v>1</v>
      </c>
      <c r="G169" t="e">
        <f ca="1">IF(ISBLANK(A169), "", IF(SUMIFS('Annotated Papers'!I:I, 'Annotated Papers'!A:A,A169)&gt;0,1,0))</f>
        <v>#NAME?</v>
      </c>
      <c r="H169">
        <f ca="1">IF(ISBLANK(A169), "", IF(SUMIFS('Annotated Papers'!L:L, 'Annotated Papers'!A:A,A169)&gt;0,1,0))</f>
        <v>0</v>
      </c>
    </row>
    <row r="170" spans="1:8" ht="14">
      <c r="A170" s="25" t="str">
        <f ca="1">IFERROR(__xludf.DUMMYFUNCTION("""COMPUTED_VALUE"""),"Learning Discriminative ab-Divergences for Positive Definite Matrices")</f>
        <v>Learning Discriminative ab-Divergences for Positive Definite Matrices</v>
      </c>
      <c r="B170" t="str">
        <f ca="1">IF(ISBLANK(A170), "", VLOOKUP(A170,'Annotated Papers'!169:1208,2,FALSE))</f>
        <v>CV</v>
      </c>
      <c r="C170" s="24">
        <f ca="1">IF(ISBLANK(A170), "", VLOOKUP(A170,'Annotated Papers'!169:1208,5,FALSE))</f>
        <v>0</v>
      </c>
      <c r="D170">
        <f ca="1">IF(ISBLANK(A170), "", IF(COUNTIF('Annotated Papers'!A:A,A170)&gt;1,1,0))</f>
        <v>1</v>
      </c>
      <c r="E170">
        <f ca="1">IF(ISBLANK(A170), "", IF(SUMIFS('Annotated Papers'!G:G, 'Annotated Papers'!A:A,A170)&gt;0,1,0))</f>
        <v>0</v>
      </c>
      <c r="F170">
        <f ca="1">IF(ISBLANK(A170), "", IF(SUMIFS('Annotated Papers'!H:H, 'Annotated Papers'!A:A,A170)&gt;0,1,0))</f>
        <v>1</v>
      </c>
      <c r="G170" t="e">
        <f ca="1">IF(ISBLANK(A170), "", IF(SUMIFS('Annotated Papers'!I:I, 'Annotated Papers'!A:A,A170)&gt;0,1,0))</f>
        <v>#NAME?</v>
      </c>
      <c r="H170">
        <f ca="1">IF(ISBLANK(A170), "", IF(SUMIFS('Annotated Papers'!L:L, 'Annotated Papers'!A:A,A170)&gt;0,1,0))</f>
        <v>0</v>
      </c>
    </row>
    <row r="171" spans="1:8" ht="14">
      <c r="A171" s="25" t="str">
        <f ca="1">IFERROR(__xludf.DUMMYFUNCTION("""COMPUTED_VALUE"""),"Octree Generating Networks: Efficient Convolutional Architectures for High-Resolution 3D Outputs")</f>
        <v>Octree Generating Networks: Efficient Convolutional Architectures for High-Resolution 3D Outputs</v>
      </c>
      <c r="B171" t="str">
        <f ca="1">IF(ISBLANK(A171), "", VLOOKUP(A171,'Annotated Papers'!170:1209,2,FALSE))</f>
        <v>CV</v>
      </c>
      <c r="C171" s="24">
        <f ca="1">IF(ISBLANK(A171), "", VLOOKUP(A171,'Annotated Papers'!170:1209,5,FALSE))</f>
        <v>1</v>
      </c>
      <c r="D171">
        <f ca="1">IF(ISBLANK(A171), "", IF(COUNTIF('Annotated Papers'!A:A,A171)&gt;1,1,0))</f>
        <v>1</v>
      </c>
      <c r="E171">
        <f ca="1">IF(ISBLANK(A171), "", IF(SUMIFS('Annotated Papers'!G:G, 'Annotated Papers'!A:A,A171)&gt;0,1,0))</f>
        <v>0</v>
      </c>
      <c r="F171">
        <f ca="1">IF(ISBLANK(A171), "", IF(SUMIFS('Annotated Papers'!H:H, 'Annotated Papers'!A:A,A171)&gt;0,1,0))</f>
        <v>1</v>
      </c>
      <c r="G171" t="e">
        <f ca="1">IF(ISBLANK(A171), "", IF(SUMIFS('Annotated Papers'!I:I, 'Annotated Papers'!A:A,A171)&gt;0,1,0))</f>
        <v>#NAME?</v>
      </c>
      <c r="H171">
        <f ca="1">IF(ISBLANK(A171), "", IF(SUMIFS('Annotated Papers'!L:L, 'Annotated Papers'!A:A,A171)&gt;0,1,0))</f>
        <v>0</v>
      </c>
    </row>
    <row r="172" spans="1:8" ht="14">
      <c r="A172" s="25" t="str">
        <f ca="1">IFERROR(__xludf.DUMMYFUNCTION("""COMPUTED_VALUE"""),"Unpaired Image-To-Image Translation Using Cycle-Consistent Adversarial Networks")</f>
        <v>Unpaired Image-To-Image Translation Using Cycle-Consistent Adversarial Networks</v>
      </c>
      <c r="B172" t="str">
        <f ca="1">IF(ISBLANK(A172), "", VLOOKUP(A172,'Annotated Papers'!171:1210,2,FALSE))</f>
        <v>CV</v>
      </c>
      <c r="C172" s="24">
        <f ca="1">IF(ISBLANK(A172), "", VLOOKUP(A172,'Annotated Papers'!171:1210,5,FALSE))</f>
        <v>1</v>
      </c>
      <c r="D172">
        <f ca="1">IF(ISBLANK(A172), "", IF(COUNTIF('Annotated Papers'!A:A,A172)&gt;1,1,0))</f>
        <v>1</v>
      </c>
      <c r="E172">
        <f ca="1">IF(ISBLANK(A172), "", IF(SUMIFS('Annotated Papers'!G:G, 'Annotated Papers'!A:A,A172)&gt;0,1,0))</f>
        <v>0</v>
      </c>
      <c r="F172">
        <f ca="1">IF(ISBLANK(A172), "", IF(SUMIFS('Annotated Papers'!H:H, 'Annotated Papers'!A:A,A172)&gt;0,1,0))</f>
        <v>1</v>
      </c>
      <c r="G172" t="e">
        <f ca="1">IF(ISBLANK(A172), "", IF(SUMIFS('Annotated Papers'!I:I, 'Annotated Papers'!A:A,A172)&gt;0,1,0))</f>
        <v>#NAME?</v>
      </c>
      <c r="H172">
        <f ca="1">IF(ISBLANK(A172), "", IF(SUMIFS('Annotated Papers'!L:L, 'Annotated Papers'!A:A,A172)&gt;0,1,0))</f>
        <v>1</v>
      </c>
    </row>
    <row r="173" spans="1:8" ht="14">
      <c r="A173" s="25" t="str">
        <f ca="1">IFERROR(__xludf.DUMMYFUNCTION("""COMPUTED_VALUE"""),"Representation Learning by Learning to Count")</f>
        <v>Representation Learning by Learning to Count</v>
      </c>
      <c r="B173" t="str">
        <f ca="1">IF(ISBLANK(A173), "", VLOOKUP(A173,'Annotated Papers'!172:1211,2,FALSE))</f>
        <v>CV</v>
      </c>
      <c r="C173" s="24">
        <f ca="1">IF(ISBLANK(A173), "", VLOOKUP(A173,'Annotated Papers'!172:1211,5,FALSE))</f>
        <v>0</v>
      </c>
      <c r="D173">
        <f ca="1">IF(ISBLANK(A173), "", IF(COUNTIF('Annotated Papers'!A:A,A173)&gt;1,1,0))</f>
        <v>1</v>
      </c>
      <c r="E173">
        <f ca="1">IF(ISBLANK(A173), "", IF(SUMIFS('Annotated Papers'!G:G, 'Annotated Papers'!A:A,A173)&gt;0,1,0))</f>
        <v>0</v>
      </c>
      <c r="F173">
        <f ca="1">IF(ISBLANK(A173), "", IF(SUMIFS('Annotated Papers'!H:H, 'Annotated Papers'!A:A,A173)&gt;0,1,0))</f>
        <v>1</v>
      </c>
      <c r="G173" t="e">
        <f ca="1">IF(ISBLANK(A173), "", IF(SUMIFS('Annotated Papers'!I:I, 'Annotated Papers'!A:A,A173)&gt;0,1,0))</f>
        <v>#NAME?</v>
      </c>
      <c r="H173">
        <f ca="1">IF(ISBLANK(A173), "", IF(SUMIFS('Annotated Papers'!L:L, 'Annotated Papers'!A:A,A173)&gt;0,1,0))</f>
        <v>0</v>
      </c>
    </row>
    <row r="174" spans="1:8" ht="14">
      <c r="A174" s="25" t="str">
        <f ca="1">IFERROR(__xludf.DUMMYFUNCTION("""COMPUTED_VALUE"""),"Benchmarking Single-Image Reflection Removal Algorithms")</f>
        <v>Benchmarking Single-Image Reflection Removal Algorithms</v>
      </c>
      <c r="B174" t="str">
        <f ca="1">IF(ISBLANK(A174), "", VLOOKUP(A174,'Annotated Papers'!173:1212,2,FALSE))</f>
        <v>CV</v>
      </c>
      <c r="C174" s="24">
        <f ca="1">IF(ISBLANK(A174), "", VLOOKUP(A174,'Annotated Papers'!173:1212,5,FALSE))</f>
        <v>1</v>
      </c>
      <c r="D174">
        <f ca="1">IF(ISBLANK(A174), "", IF(COUNTIF('Annotated Papers'!A:A,A174)&gt;1,1,0))</f>
        <v>0</v>
      </c>
      <c r="E174">
        <f ca="1">IF(ISBLANK(A174), "", IF(SUMIFS('Annotated Papers'!G:G, 'Annotated Papers'!A:A,A174)&gt;0,1,0))</f>
        <v>0</v>
      </c>
      <c r="F174">
        <f ca="1">IF(ISBLANK(A174), "", IF(SUMIFS('Annotated Papers'!H:H, 'Annotated Papers'!A:A,A174)&gt;0,1,0))</f>
        <v>1</v>
      </c>
      <c r="G174" t="e">
        <f ca="1">IF(ISBLANK(A174), "", IF(SUMIFS('Annotated Papers'!I:I, 'Annotated Papers'!A:A,A174)&gt;0,1,0))</f>
        <v>#NAME?</v>
      </c>
      <c r="H174">
        <f ca="1">IF(ISBLANK(A174), "", IF(SUMIFS('Annotated Papers'!L:L, 'Annotated Papers'!A:A,A174)&gt;0,1,0))</f>
        <v>0</v>
      </c>
    </row>
    <row r="175" spans="1:8" ht="14">
      <c r="A175" s="25" t="str">
        <f ca="1">IFERROR(__xludf.DUMMYFUNCTION("""COMPUTED_VALUE"""),"Dense Non-Rigid Structure-From-Motion and Shading With Unknown Albedos")</f>
        <v>Dense Non-Rigid Structure-From-Motion and Shading With Unknown Albedos</v>
      </c>
      <c r="B175" t="str">
        <f ca="1">IF(ISBLANK(A175), "", VLOOKUP(A175,'Annotated Papers'!174:1213,2,FALSE))</f>
        <v>CV</v>
      </c>
      <c r="C175" s="24">
        <f ca="1">IF(ISBLANK(A175), "", VLOOKUP(A175,'Annotated Papers'!174:1213,5,FALSE))</f>
        <v>0</v>
      </c>
      <c r="D175">
        <f ca="1">IF(ISBLANK(A175), "", IF(COUNTIF('Annotated Papers'!A:A,A175)&gt;1,1,0))</f>
        <v>1</v>
      </c>
      <c r="E175">
        <f ca="1">IF(ISBLANK(A175), "", IF(SUMIFS('Annotated Papers'!G:G, 'Annotated Papers'!A:A,A175)&gt;0,1,0))</f>
        <v>0</v>
      </c>
      <c r="F175">
        <f ca="1">IF(ISBLANK(A175), "", IF(SUMIFS('Annotated Papers'!H:H, 'Annotated Papers'!A:A,A175)&gt;0,1,0))</f>
        <v>1</v>
      </c>
      <c r="G175" t="e">
        <f ca="1">IF(ISBLANK(A175), "", IF(SUMIFS('Annotated Papers'!I:I, 'Annotated Papers'!A:A,A175)&gt;0,1,0))</f>
        <v>#NAME?</v>
      </c>
      <c r="H175">
        <f ca="1">IF(ISBLANK(A175), "", IF(SUMIFS('Annotated Papers'!L:L, 'Annotated Papers'!A:A,A175)&gt;0,1,0))</f>
        <v>1</v>
      </c>
    </row>
    <row r="176" spans="1:8" ht="14">
      <c r="A176" s="26" t="str">
        <f ca="1">IFERROR(__xludf.DUMMYFUNCTION("""COMPUTED_VALUE"""),"Automatic Documentation of ICD Codes with Far-Field Speech Recognition")</f>
        <v>Automatic Documentation of ICD Codes with Far-Field Speech Recognition</v>
      </c>
      <c r="B176" t="str">
        <f ca="1">IF(ISBLANK(A176), "", VLOOKUP(A176,'Annotated Papers'!175:1214,2,FALSE))</f>
        <v>ML4H</v>
      </c>
      <c r="C176" s="24">
        <f ca="1">IF(ISBLANK(A176), "", VLOOKUP(A176,'Annotated Papers'!175:1214,5,FALSE))</f>
        <v>0</v>
      </c>
      <c r="D176">
        <f ca="1">IF(ISBLANK(A176), "", IF(COUNTIF('Annotated Papers'!A:A,A176)&gt;1,1,0))</f>
        <v>0</v>
      </c>
      <c r="E176">
        <f ca="1">IF(ISBLANK(A176), "", IF(SUMIFS('Annotated Papers'!G:G, 'Annotated Papers'!A:A,A176)&gt;0,1,0))</f>
        <v>0</v>
      </c>
      <c r="F176">
        <f ca="1">IF(ISBLANK(A176), "", IF(SUMIFS('Annotated Papers'!H:H, 'Annotated Papers'!A:A,A176)&gt;0,1,0))</f>
        <v>0</v>
      </c>
      <c r="G176" t="e">
        <f ca="1">IF(ISBLANK(A176), "", IF(SUMIFS('Annotated Papers'!I:I, 'Annotated Papers'!A:A,A176)&gt;0,1,0))</f>
        <v>#NAME?</v>
      </c>
      <c r="H176">
        <f ca="1">IF(ISBLANK(A176), "", IF(SUMIFS('Annotated Papers'!L:L, 'Annotated Papers'!A:A,A176)&gt;0,1,0))</f>
        <v>1</v>
      </c>
    </row>
    <row r="177" spans="1:8" ht="14">
      <c r="A177" s="26" t="str">
        <f ca="1">IFERROR(__xludf.DUMMYFUNCTION("""COMPUTED_VALUE"""),"Distinguishing correlation from causation using genome-wide association studies")</f>
        <v>Distinguishing correlation from causation using genome-wide association studies</v>
      </c>
      <c r="B177" t="str">
        <f ca="1">IF(ISBLANK(A177), "", VLOOKUP(A177,'Annotated Papers'!176:1215,2,FALSE))</f>
        <v>ML4H</v>
      </c>
      <c r="C177" s="24">
        <f ca="1">IF(ISBLANK(A177), "", VLOOKUP(A177,'Annotated Papers'!176:1215,5,FALSE))</f>
        <v>0</v>
      </c>
      <c r="D177">
        <f ca="1">IF(ISBLANK(A177), "", IF(COUNTIF('Annotated Papers'!A:A,A177)&gt;1,1,0))</f>
        <v>0</v>
      </c>
      <c r="E177">
        <f ca="1">IF(ISBLANK(A177), "", IF(SUMIFS('Annotated Papers'!G:G, 'Annotated Papers'!A:A,A177)&gt;0,1,0))</f>
        <v>0</v>
      </c>
      <c r="F177">
        <f ca="1">IF(ISBLANK(A177), "", IF(SUMIFS('Annotated Papers'!H:H, 'Annotated Papers'!A:A,A177)&gt;0,1,0))</f>
        <v>1</v>
      </c>
      <c r="G177" t="e">
        <f ca="1">IF(ISBLANK(A177), "", IF(SUMIFS('Annotated Papers'!I:I, 'Annotated Papers'!A:A,A177)&gt;0,1,0))</f>
        <v>#NAME?</v>
      </c>
      <c r="H177">
        <f ca="1">IF(ISBLANK(A177), "", IF(SUMIFS('Annotated Papers'!L:L, 'Annotated Papers'!A:A,A177)&gt;0,1,0))</f>
        <v>1</v>
      </c>
    </row>
    <row r="178" spans="1:8" ht="14">
      <c r="A178" s="25" t="str">
        <f ca="1">IFERROR(__xludf.DUMMYFUNCTION("""COMPUTED_VALUE"""),"Prototypical Clustering Networks for Dermatological Disease Diagnosis")</f>
        <v>Prototypical Clustering Networks for Dermatological Disease Diagnosis</v>
      </c>
      <c r="B178" t="str">
        <f ca="1">IF(ISBLANK(A178), "", VLOOKUP(A178,'Annotated Papers'!177:1216,2,FALSE))</f>
        <v>ML4H</v>
      </c>
      <c r="C178" s="24">
        <f ca="1">IF(ISBLANK(A178), "", VLOOKUP(A178,'Annotated Papers'!177:1216,5,FALSE))</f>
        <v>0</v>
      </c>
      <c r="D178">
        <f ca="1">IF(ISBLANK(A178), "", IF(COUNTIF('Annotated Papers'!A:A,A178)&gt;1,1,0))</f>
        <v>0</v>
      </c>
      <c r="E178">
        <f ca="1">IF(ISBLANK(A178), "", IF(SUMIFS('Annotated Papers'!G:G, 'Annotated Papers'!A:A,A178)&gt;0,1,0))</f>
        <v>0</v>
      </c>
      <c r="F178">
        <f ca="1">IF(ISBLANK(A178), "", IF(SUMIFS('Annotated Papers'!H:H, 'Annotated Papers'!A:A,A178)&gt;0,1,0))</f>
        <v>1</v>
      </c>
      <c r="G178" t="e">
        <f ca="1">IF(ISBLANK(A178), "", IF(SUMIFS('Annotated Papers'!I:I, 'Annotated Papers'!A:A,A178)&gt;0,1,0))</f>
        <v>#NAME?</v>
      </c>
      <c r="H178">
        <f ca="1">IF(ISBLANK(A178), "", IF(SUMIFS('Annotated Papers'!L:L, 'Annotated Papers'!A:A,A178)&gt;0,1,0))</f>
        <v>1</v>
      </c>
    </row>
    <row r="179" spans="1:8" ht="14">
      <c r="A179" s="26" t="str">
        <f ca="1">IFERROR(__xludf.DUMMYFUNCTION("""COMPUTED_VALUE"""),"Disease Detection in Weakly Annotated Volumetric Medical Images using a Convolutional LSTM Network")</f>
        <v>Disease Detection in Weakly Annotated Volumetric Medical Images using a Convolutional LSTM Network</v>
      </c>
      <c r="B179" t="str">
        <f ca="1">IF(ISBLANK(A179), "", VLOOKUP(A179,'Annotated Papers'!178:1217,2,FALSE))</f>
        <v>ML4H</v>
      </c>
      <c r="C179" s="24">
        <f ca="1">IF(ISBLANK(A179), "", VLOOKUP(A179,'Annotated Papers'!178:1217,5,FALSE))</f>
        <v>0</v>
      </c>
      <c r="D179">
        <f ca="1">IF(ISBLANK(A179), "", IF(COUNTIF('Annotated Papers'!A:A,A179)&gt;1,1,0))</f>
        <v>0</v>
      </c>
      <c r="E179">
        <f ca="1">IF(ISBLANK(A179), "", IF(SUMIFS('Annotated Papers'!G:G, 'Annotated Papers'!A:A,A179)&gt;0,1,0))</f>
        <v>0</v>
      </c>
      <c r="F179">
        <f ca="1">IF(ISBLANK(A179), "", IF(SUMIFS('Annotated Papers'!H:H, 'Annotated Papers'!A:A,A179)&gt;0,1,0))</f>
        <v>1</v>
      </c>
      <c r="G179" t="e">
        <f ca="1">IF(ISBLANK(A179), "", IF(SUMIFS('Annotated Papers'!I:I, 'Annotated Papers'!A:A,A179)&gt;0,1,0))</f>
        <v>#NAME?</v>
      </c>
      <c r="H179">
        <f ca="1">IF(ISBLANK(A179), "", IF(SUMIFS('Annotated Papers'!L:L, 'Annotated Papers'!A:A,A179)&gt;0,1,0))</f>
        <v>0</v>
      </c>
    </row>
    <row r="180" spans="1:8" ht="14">
      <c r="A180" s="26" t="str">
        <f ca="1">IFERROR(__xludf.DUMMYFUNCTION("""COMPUTED_VALUE"""),"Cluster-Based Learning from Weakly Labeled Bags in Digital Pathology")</f>
        <v>Cluster-Based Learning from Weakly Labeled Bags in Digital Pathology</v>
      </c>
      <c r="B180" t="str">
        <f ca="1">IF(ISBLANK(A180), "", VLOOKUP(A180,'Annotated Papers'!179:1218,2,FALSE))</f>
        <v>ML4H</v>
      </c>
      <c r="C180" s="24">
        <f ca="1">IF(ISBLANK(A180), "", VLOOKUP(A180,'Annotated Papers'!179:1218,5,FALSE))</f>
        <v>0</v>
      </c>
      <c r="D180">
        <f ca="1">IF(ISBLANK(A180), "", IF(COUNTIF('Annotated Papers'!A:A,A180)&gt;1,1,0))</f>
        <v>1</v>
      </c>
      <c r="E180">
        <f ca="1">IF(ISBLANK(A180), "", IF(SUMIFS('Annotated Papers'!G:G, 'Annotated Papers'!A:A,A180)&gt;0,1,0))</f>
        <v>0</v>
      </c>
      <c r="F180">
        <f ca="1">IF(ISBLANK(A180), "", IF(SUMIFS('Annotated Papers'!H:H, 'Annotated Papers'!A:A,A180)&gt;0,1,0))</f>
        <v>1</v>
      </c>
      <c r="G180" t="e">
        <f ca="1">IF(ISBLANK(A180), "", IF(SUMIFS('Annotated Papers'!I:I, 'Annotated Papers'!A:A,A180)&gt;0,1,0))</f>
        <v>#NAME?</v>
      </c>
      <c r="H180">
        <f ca="1">IF(ISBLANK(A180), "", IF(SUMIFS('Annotated Papers'!L:L, 'Annotated Papers'!A:A,A180)&gt;0,1,0))</f>
        <v>0</v>
      </c>
    </row>
    <row r="181" spans="1:8" ht="14">
      <c r="A181" s="26" t="str">
        <f ca="1">IFERROR(__xludf.DUMMYFUNCTION("""COMPUTED_VALUE"""),"Estimation of Individual Treatment Effect in Latent Confounder Models via Adversarial Learning")</f>
        <v>Estimation of Individual Treatment Effect in Latent Confounder Models via Adversarial Learning</v>
      </c>
      <c r="B181" t="str">
        <f ca="1">IF(ISBLANK(A181), "", VLOOKUP(A181,'Annotated Papers'!180:1219,2,FALSE))</f>
        <v>ML4H</v>
      </c>
      <c r="C181" s="24">
        <f ca="1">IF(ISBLANK(A181), "", VLOOKUP(A181,'Annotated Papers'!180:1219,5,FALSE))</f>
        <v>0</v>
      </c>
      <c r="D181">
        <f ca="1">IF(ISBLANK(A181), "", IF(COUNTIF('Annotated Papers'!A:A,A181)&gt;1,1,0))</f>
        <v>0</v>
      </c>
      <c r="E181">
        <f ca="1">IF(ISBLANK(A181), "", IF(SUMIFS('Annotated Papers'!G:G, 'Annotated Papers'!A:A,A181)&gt;0,1,0))</f>
        <v>0</v>
      </c>
      <c r="F181">
        <f ca="1">IF(ISBLANK(A181), "", IF(SUMIFS('Annotated Papers'!H:H, 'Annotated Papers'!A:A,A181)&gt;0,1,0))</f>
        <v>0</v>
      </c>
      <c r="G181" t="e">
        <f ca="1">IF(ISBLANK(A181), "", IF(SUMIFS('Annotated Papers'!I:I, 'Annotated Papers'!A:A,A181)&gt;0,1,0))</f>
        <v>#NAME?</v>
      </c>
      <c r="H181">
        <f ca="1">IF(ISBLANK(A181), "", IF(SUMIFS('Annotated Papers'!L:L, 'Annotated Papers'!A:A,A181)&gt;0,1,0))</f>
        <v>1</v>
      </c>
    </row>
    <row r="182" spans="1:8" ht="14">
      <c r="A182" s="26" t="str">
        <f ca="1">IFERROR(__xludf.DUMMYFUNCTION("""COMPUTED_VALUE"""),"Unsupervised learning with contrastive latent variable models")</f>
        <v>Unsupervised learning with contrastive latent variable models</v>
      </c>
      <c r="B182" t="str">
        <f ca="1">IF(ISBLANK(A182), "", VLOOKUP(A182,'Annotated Papers'!181:1220,2,FALSE))</f>
        <v>ML4H</v>
      </c>
      <c r="C182" s="24">
        <f ca="1">IF(ISBLANK(A182), "", VLOOKUP(A182,'Annotated Papers'!181:1220,5,FALSE))</f>
        <v>0</v>
      </c>
      <c r="D182">
        <f ca="1">IF(ISBLANK(A182), "", IF(COUNTIF('Annotated Papers'!A:A,A182)&gt;1,1,0))</f>
        <v>0</v>
      </c>
      <c r="E182">
        <f ca="1">IF(ISBLANK(A182), "", IF(SUMIFS('Annotated Papers'!G:G, 'Annotated Papers'!A:A,A182)&gt;0,1,0))</f>
        <v>0</v>
      </c>
      <c r="F182">
        <f ca="1">IF(ISBLANK(A182), "", IF(SUMIFS('Annotated Papers'!H:H, 'Annotated Papers'!A:A,A182)&gt;0,1,0))</f>
        <v>0</v>
      </c>
      <c r="G182" t="e">
        <f ca="1">IF(ISBLANK(A182), "", IF(SUMIFS('Annotated Papers'!I:I, 'Annotated Papers'!A:A,A182)&gt;0,1,0))</f>
        <v>#NAME?</v>
      </c>
      <c r="H182">
        <f ca="1">IF(ISBLANK(A182), "", IF(SUMIFS('Annotated Papers'!L:L, 'Annotated Papers'!A:A,A182)&gt;0,1,0))</f>
        <v>0</v>
      </c>
    </row>
    <row r="183" spans="1:8" ht="14">
      <c r="A183" s="25" t="str">
        <f ca="1">IFERROR(__xludf.DUMMYFUNCTION("""COMPUTED_VALUE"""),"Predicting pregnancy using large-scale data from a women's health tracking mobile application")</f>
        <v>Predicting pregnancy using large-scale data from a women's health tracking mobile application</v>
      </c>
      <c r="B183" t="str">
        <f ca="1">IF(ISBLANK(A183), "", VLOOKUP(A183,'Annotated Papers'!182:1221,2,FALSE))</f>
        <v>ML4H</v>
      </c>
      <c r="C183" s="24">
        <f ca="1">IF(ISBLANK(A183), "", VLOOKUP(A183,'Annotated Papers'!182:1221,5,FALSE))</f>
        <v>0</v>
      </c>
      <c r="D183">
        <f ca="1">IF(ISBLANK(A183), "", IF(COUNTIF('Annotated Papers'!A:A,A183)&gt;1,1,0))</f>
        <v>0</v>
      </c>
      <c r="E183">
        <f ca="1">IF(ISBLANK(A183), "", IF(SUMIFS('Annotated Papers'!G:G, 'Annotated Papers'!A:A,A183)&gt;0,1,0))</f>
        <v>1</v>
      </c>
      <c r="F183">
        <f ca="1">IF(ISBLANK(A183), "", IF(SUMIFS('Annotated Papers'!H:H, 'Annotated Papers'!A:A,A183)&gt;0,1,0))</f>
        <v>0</v>
      </c>
      <c r="G183" t="e">
        <f ca="1">IF(ISBLANK(A183), "", IF(SUMIFS('Annotated Papers'!I:I, 'Annotated Papers'!A:A,A183)&gt;0,1,0))</f>
        <v>#NAME?</v>
      </c>
      <c r="H183">
        <f ca="1">IF(ISBLANK(A183), "", IF(SUMIFS('Annotated Papers'!L:L, 'Annotated Papers'!A:A,A183)&gt;0,1,0))</f>
        <v>0</v>
      </c>
    </row>
    <row r="184" spans="1:8" ht="14">
      <c r="A184" s="25" t="str">
        <f ca="1">IFERROR(__xludf.DUMMYFUNCTION("""COMPUTED_VALUE"""),"DeepSPINE: automated lumbar spinal stenosis grading using deep learning")</f>
        <v>DeepSPINE: automated lumbar spinal stenosis grading using deep learning</v>
      </c>
      <c r="B184" t="str">
        <f ca="1">IF(ISBLANK(A184), "", VLOOKUP(A184,'Annotated Papers'!183:1222,2,FALSE))</f>
        <v>ML4H</v>
      </c>
      <c r="C184" s="24">
        <f ca="1">IF(ISBLANK(A184), "", VLOOKUP(A184,'Annotated Papers'!183:1222,5,FALSE))</f>
        <v>0</v>
      </c>
      <c r="D184">
        <f ca="1">IF(ISBLANK(A184), "", IF(COUNTIF('Annotated Papers'!A:A,A184)&gt;1,1,0))</f>
        <v>0</v>
      </c>
      <c r="E184">
        <f ca="1">IF(ISBLANK(A184), "", IF(SUMIFS('Annotated Papers'!G:G, 'Annotated Papers'!A:A,A184)&gt;0,1,0))</f>
        <v>1</v>
      </c>
      <c r="F184">
        <f ca="1">IF(ISBLANK(A184), "", IF(SUMIFS('Annotated Papers'!H:H, 'Annotated Papers'!A:A,A184)&gt;0,1,0))</f>
        <v>0</v>
      </c>
      <c r="G184" t="e">
        <f ca="1">IF(ISBLANK(A184), "", IF(SUMIFS('Annotated Papers'!I:I, 'Annotated Papers'!A:A,A184)&gt;0,1,0))</f>
        <v>#NAME?</v>
      </c>
      <c r="H184">
        <f ca="1">IF(ISBLANK(A184), "", IF(SUMIFS('Annotated Papers'!L:L, 'Annotated Papers'!A:A,A184)&gt;0,1,0))</f>
        <v>1</v>
      </c>
    </row>
    <row r="185" spans="1:8" ht="14">
      <c r="A185" s="26" t="str">
        <f ca="1">IFERROR(__xludf.DUMMYFUNCTION("""COMPUTED_VALUE"""),"Compensated Integrated Gradients to Reliably Interpret EEG Classification")</f>
        <v>Compensated Integrated Gradients to Reliably Interpret EEG Classification</v>
      </c>
      <c r="B185" t="str">
        <f ca="1">IF(ISBLANK(A185), "", VLOOKUP(A185,'Annotated Papers'!184:1223,2,FALSE))</f>
        <v>ML4H</v>
      </c>
      <c r="C185" s="24">
        <f ca="1">IF(ISBLANK(A185), "", VLOOKUP(A185,'Annotated Papers'!184:1223,5,FALSE))</f>
        <v>0</v>
      </c>
      <c r="D185">
        <f ca="1">IF(ISBLANK(A185), "", IF(COUNTIF('Annotated Papers'!A:A,A185)&gt;1,1,0))</f>
        <v>1</v>
      </c>
      <c r="E185">
        <f ca="1">IF(ISBLANK(A185), "", IF(SUMIFS('Annotated Papers'!G:G, 'Annotated Papers'!A:A,A185)&gt;0,1,0))</f>
        <v>0</v>
      </c>
      <c r="F185">
        <f ca="1">IF(ISBLANK(A185), "", IF(SUMIFS('Annotated Papers'!H:H, 'Annotated Papers'!A:A,A185)&gt;0,1,0))</f>
        <v>1</v>
      </c>
      <c r="G185" t="e">
        <f ca="1">IF(ISBLANK(A185), "", IF(SUMIFS('Annotated Papers'!I:I, 'Annotated Papers'!A:A,A185)&gt;0,1,0))</f>
        <v>#NAME?</v>
      </c>
      <c r="H185">
        <f ca="1">IF(ISBLANK(A185), "", IF(SUMIFS('Annotated Papers'!L:L, 'Annotated Papers'!A:A,A185)&gt;0,1,0))</f>
        <v>0</v>
      </c>
    </row>
    <row r="186" spans="1:8" ht="14">
      <c r="A186" s="26" t="str">
        <f ca="1">IFERROR(__xludf.DUMMYFUNCTION("""COMPUTED_VALUE"""),"Deep Ensemble Tensor Factorization for Longitudinal Patient Trajectories Classification")</f>
        <v>Deep Ensemble Tensor Factorization for Longitudinal Patient Trajectories Classification</v>
      </c>
      <c r="B186" t="str">
        <f ca="1">IF(ISBLANK(A186), "", VLOOKUP(A186,'Annotated Papers'!185:1224,2,FALSE))</f>
        <v>ML4H</v>
      </c>
      <c r="C186" s="24">
        <f ca="1">IF(ISBLANK(A186), "", VLOOKUP(A186,'Annotated Papers'!185:1224,5,FALSE))</f>
        <v>0</v>
      </c>
      <c r="D186">
        <f ca="1">IF(ISBLANK(A186), "", IF(COUNTIF('Annotated Papers'!A:A,A186)&gt;1,1,0))</f>
        <v>0</v>
      </c>
      <c r="E186">
        <f ca="1">IF(ISBLANK(A186), "", IF(SUMIFS('Annotated Papers'!G:G, 'Annotated Papers'!A:A,A186)&gt;0,1,0))</f>
        <v>1</v>
      </c>
      <c r="F186">
        <f ca="1">IF(ISBLANK(A186), "", IF(SUMIFS('Annotated Papers'!H:H, 'Annotated Papers'!A:A,A186)&gt;0,1,0))</f>
        <v>1</v>
      </c>
      <c r="G186" t="e">
        <f ca="1">IF(ISBLANK(A186), "", IF(SUMIFS('Annotated Papers'!I:I, 'Annotated Papers'!A:A,A186)&gt;0,1,0))</f>
        <v>#NAME?</v>
      </c>
      <c r="H186">
        <f ca="1">IF(ISBLANK(A186), "", IF(SUMIFS('Annotated Papers'!L:L, 'Annotated Papers'!A:A,A186)&gt;0,1,0))</f>
        <v>0</v>
      </c>
    </row>
    <row r="187" spans="1:8" ht="14">
      <c r="A187" s="26" t="str">
        <f ca="1">IFERROR(__xludf.DUMMYFUNCTION("""COMPUTED_VALUE"""),"TIFTI: A Framework for Extracting Drug Intervals from Longitudinal Clinic Notes")</f>
        <v>TIFTI: A Framework for Extracting Drug Intervals from Longitudinal Clinic Notes</v>
      </c>
      <c r="B187" t="str">
        <f ca="1">IF(ISBLANK(A187), "", VLOOKUP(A187,'Annotated Papers'!186:1225,2,FALSE))</f>
        <v>ML4H</v>
      </c>
      <c r="C187" s="24">
        <f ca="1">IF(ISBLANK(A187), "", VLOOKUP(A187,'Annotated Papers'!186:1225,5,FALSE))</f>
        <v>0</v>
      </c>
      <c r="D187">
        <f ca="1">IF(ISBLANK(A187), "", IF(COUNTIF('Annotated Papers'!A:A,A187)&gt;1,1,0))</f>
        <v>0</v>
      </c>
      <c r="E187">
        <f ca="1">IF(ISBLANK(A187), "", IF(SUMIFS('Annotated Papers'!G:G, 'Annotated Papers'!A:A,A187)&gt;0,1,0))</f>
        <v>1</v>
      </c>
      <c r="F187">
        <f ca="1">IF(ISBLANK(A187), "", IF(SUMIFS('Annotated Papers'!H:H, 'Annotated Papers'!A:A,A187)&gt;0,1,0))</f>
        <v>0</v>
      </c>
      <c r="G187" t="e">
        <f ca="1">IF(ISBLANK(A187), "", IF(SUMIFS('Annotated Papers'!I:I, 'Annotated Papers'!A:A,A187)&gt;0,1,0))</f>
        <v>#NAME?</v>
      </c>
      <c r="H187">
        <f ca="1">IF(ISBLANK(A187), "", IF(SUMIFS('Annotated Papers'!L:L, 'Annotated Papers'!A:A,A187)&gt;0,1,0))</f>
        <v>0</v>
      </c>
    </row>
    <row r="188" spans="1:8" ht="14">
      <c r="A188" s="26" t="str">
        <f ca="1">IFERROR(__xludf.DUMMYFUNCTION("""COMPUTED_VALUE"""),"Automatic Diagnosis of Short-Duration 12-Lead ECG using Deep Convolutional Network")</f>
        <v>Automatic Diagnosis of Short-Duration 12-Lead ECG using Deep Convolutional Network</v>
      </c>
      <c r="B188" t="str">
        <f ca="1">IF(ISBLANK(A188), "", VLOOKUP(A188,'Annotated Papers'!187:1226,2,FALSE))</f>
        <v>ML4H</v>
      </c>
      <c r="C188" s="24">
        <f ca="1">IF(ISBLANK(A188), "", VLOOKUP(A188,'Annotated Papers'!187:1226,5,FALSE))</f>
        <v>0</v>
      </c>
      <c r="D188">
        <f ca="1">IF(ISBLANK(A188), "", IF(COUNTIF('Annotated Papers'!A:A,A188)&gt;1,1,0))</f>
        <v>0</v>
      </c>
      <c r="E188">
        <f ca="1">IF(ISBLANK(A188), "", IF(SUMIFS('Annotated Papers'!G:G, 'Annotated Papers'!A:A,A188)&gt;0,1,0))</f>
        <v>0</v>
      </c>
      <c r="F188">
        <f ca="1">IF(ISBLANK(A188), "", IF(SUMIFS('Annotated Papers'!H:H, 'Annotated Papers'!A:A,A188)&gt;0,1,0))</f>
        <v>0</v>
      </c>
      <c r="G188" t="e">
        <f ca="1">IF(ISBLANK(A188), "", IF(SUMIFS('Annotated Papers'!I:I, 'Annotated Papers'!A:A,A188)&gt;0,1,0))</f>
        <v>#NAME?</v>
      </c>
      <c r="H188">
        <f ca="1">IF(ISBLANK(A188), "", IF(SUMIFS('Annotated Papers'!L:L, 'Annotated Papers'!A:A,A188)&gt;0,1,0))</f>
        <v>0</v>
      </c>
    </row>
    <row r="189" spans="1:8" ht="14">
      <c r="A189" s="26" t="str">
        <f ca="1">IFERROR(__xludf.DUMMYFUNCTION("""COMPUTED_VALUE"""),"A Bayesian model of acquisition and clearance of bacterial colonization")</f>
        <v>A Bayesian model of acquisition and clearance of bacterial colonization</v>
      </c>
      <c r="B189" t="str">
        <f ca="1">IF(ISBLANK(A189), "", VLOOKUP(A189,'Annotated Papers'!188:1227,2,FALSE))</f>
        <v>ML4H</v>
      </c>
      <c r="C189" s="24">
        <f ca="1">IF(ISBLANK(A189), "", VLOOKUP(A189,'Annotated Papers'!188:1227,5,FALSE))</f>
        <v>0</v>
      </c>
      <c r="D189">
        <f ca="1">IF(ISBLANK(A189), "", IF(COUNTIF('Annotated Papers'!A:A,A189)&gt;1,1,0))</f>
        <v>0</v>
      </c>
      <c r="E189">
        <f ca="1">IF(ISBLANK(A189), "", IF(SUMIFS('Annotated Papers'!G:G, 'Annotated Papers'!A:A,A189)&gt;0,1,0))</f>
        <v>0</v>
      </c>
      <c r="F189">
        <f ca="1">IF(ISBLANK(A189), "", IF(SUMIFS('Annotated Papers'!H:H, 'Annotated Papers'!A:A,A189)&gt;0,1,0))</f>
        <v>0</v>
      </c>
      <c r="G189" t="e">
        <f ca="1">IF(ISBLANK(A189), "", IF(SUMIFS('Annotated Papers'!I:I, 'Annotated Papers'!A:A,A189)&gt;0,1,0))</f>
        <v>#NAME?</v>
      </c>
      <c r="H189">
        <f ca="1">IF(ISBLANK(A189), "", IF(SUMIFS('Annotated Papers'!L:L, 'Annotated Papers'!A:A,A189)&gt;0,1,0))</f>
        <v>1</v>
      </c>
    </row>
    <row r="190" spans="1:8" ht="14">
      <c r="A190" s="26" t="str">
        <f ca="1">IFERROR(__xludf.DUMMYFUNCTION("""COMPUTED_VALUE"""),"A Probabilistic Model of Cardiac Physiology and Electrocardiograms")</f>
        <v>A Probabilistic Model of Cardiac Physiology and Electrocardiograms</v>
      </c>
      <c r="B190" t="str">
        <f ca="1">IF(ISBLANK(A190), "", VLOOKUP(A190,'Annotated Papers'!189:1228,2,FALSE))</f>
        <v>ML4H</v>
      </c>
      <c r="C190" s="24">
        <f ca="1">IF(ISBLANK(A190), "", VLOOKUP(A190,'Annotated Papers'!189:1228,5,FALSE))</f>
        <v>0</v>
      </c>
      <c r="D190">
        <f ca="1">IF(ISBLANK(A190), "", IF(COUNTIF('Annotated Papers'!A:A,A190)&gt;1,1,0))</f>
        <v>1</v>
      </c>
      <c r="E190">
        <f ca="1">IF(ISBLANK(A190), "", IF(SUMIFS('Annotated Papers'!G:G, 'Annotated Papers'!A:A,A190)&gt;0,1,0))</f>
        <v>1</v>
      </c>
      <c r="F190">
        <f ca="1">IF(ISBLANK(A190), "", IF(SUMIFS('Annotated Papers'!H:H, 'Annotated Papers'!A:A,A190)&gt;0,1,0))</f>
        <v>1</v>
      </c>
      <c r="G190" t="e">
        <f ca="1">IF(ISBLANK(A190), "", IF(SUMIFS('Annotated Papers'!I:I, 'Annotated Papers'!A:A,A190)&gt;0,1,0))</f>
        <v>#NAME?</v>
      </c>
      <c r="H190">
        <f ca="1">IF(ISBLANK(A190), "", IF(SUMIFS('Annotated Papers'!L:L, 'Annotated Papers'!A:A,A190)&gt;0,1,0))</f>
        <v>1</v>
      </c>
    </row>
    <row r="191" spans="1:8" ht="14">
      <c r="A191" s="25" t="str">
        <f ca="1">IFERROR(__xludf.DUMMYFUNCTION("""COMPUTED_VALUE"""),"Automated Radiation Therapy Treatment Planning using 3-D Generative Adversarial Networks")</f>
        <v>Automated Radiation Therapy Treatment Planning using 3-D Generative Adversarial Networks</v>
      </c>
      <c r="B191" t="str">
        <f ca="1">IF(ISBLANK(A191), "", VLOOKUP(A191,'Annotated Papers'!190:1229,2,FALSE))</f>
        <v>ML4H</v>
      </c>
      <c r="C191" s="24">
        <f ca="1">IF(ISBLANK(A191), "", VLOOKUP(A191,'Annotated Papers'!190:1229,5,FALSE))</f>
        <v>1</v>
      </c>
      <c r="D191">
        <f ca="1">IF(ISBLANK(A191), "", IF(COUNTIF('Annotated Papers'!A:A,A191)&gt;1,1,0))</f>
        <v>0</v>
      </c>
      <c r="E191">
        <f ca="1">IF(ISBLANK(A191), "", IF(SUMIFS('Annotated Papers'!G:G, 'Annotated Papers'!A:A,A191)&gt;0,1,0))</f>
        <v>0</v>
      </c>
      <c r="F191">
        <f ca="1">IF(ISBLANK(A191), "", IF(SUMIFS('Annotated Papers'!H:H, 'Annotated Papers'!A:A,A191)&gt;0,1,0))</f>
        <v>0</v>
      </c>
      <c r="G191" t="e">
        <f ca="1">IF(ISBLANK(A191), "", IF(SUMIFS('Annotated Papers'!I:I, 'Annotated Papers'!A:A,A191)&gt;0,1,0))</f>
        <v>#NAME?</v>
      </c>
      <c r="H191">
        <f ca="1">IF(ISBLANK(A191), "", IF(SUMIFS('Annotated Papers'!L:L, 'Annotated Papers'!A:A,A191)&gt;0,1,0))</f>
        <v>1</v>
      </c>
    </row>
    <row r="192" spans="1:8" ht="14">
      <c r="A192" s="26" t="str">
        <f ca="1">IFERROR(__xludf.DUMMYFUNCTION("""COMPUTED_VALUE"""),"Imputation of Clinical Covariates in Time Series")</f>
        <v>Imputation of Clinical Covariates in Time Series</v>
      </c>
      <c r="B192" t="str">
        <f ca="1">IF(ISBLANK(A192), "", VLOOKUP(A192,'Annotated Papers'!191:1230,2,FALSE))</f>
        <v>ML4H</v>
      </c>
      <c r="C192" s="24">
        <f ca="1">IF(ISBLANK(A192), "", VLOOKUP(A192,'Annotated Papers'!191:1230,5,FALSE))</f>
        <v>0</v>
      </c>
      <c r="D192">
        <f ca="1">IF(ISBLANK(A192), "", IF(COUNTIF('Annotated Papers'!A:A,A192)&gt;1,1,0))</f>
        <v>0</v>
      </c>
      <c r="E192">
        <f ca="1">IF(ISBLANK(A192), "", IF(SUMIFS('Annotated Papers'!G:G, 'Annotated Papers'!A:A,A192)&gt;0,1,0))</f>
        <v>1</v>
      </c>
      <c r="F192">
        <f ca="1">IF(ISBLANK(A192), "", IF(SUMIFS('Annotated Papers'!H:H, 'Annotated Papers'!A:A,A192)&gt;0,1,0))</f>
        <v>1</v>
      </c>
      <c r="G192" t="e">
        <f ca="1">IF(ISBLANK(A192), "", IF(SUMIFS('Annotated Papers'!I:I, 'Annotated Papers'!A:A,A192)&gt;0,1,0))</f>
        <v>#NAME?</v>
      </c>
      <c r="H192">
        <f ca="1">IF(ISBLANK(A192), "", IF(SUMIFS('Annotated Papers'!L:L, 'Annotated Papers'!A:A,A192)&gt;0,1,0))</f>
        <v>0</v>
      </c>
    </row>
    <row r="193" spans="1:8" ht="14">
      <c r="A193" s="25" t="str">
        <f ca="1">IFERROR(__xludf.DUMMYFUNCTION("""COMPUTED_VALUE"""),"Advancing PICO Element Detection in Medical Text via Deep Neural Networks")</f>
        <v>Advancing PICO Element Detection in Medical Text via Deep Neural Networks</v>
      </c>
      <c r="B193" t="str">
        <f ca="1">IF(ISBLANK(A193), "", VLOOKUP(A193,'Annotated Papers'!192:1231,2,FALSE))</f>
        <v>ML4H</v>
      </c>
      <c r="C193" s="24">
        <f ca="1">IF(ISBLANK(A193), "", VLOOKUP(A193,'Annotated Papers'!192:1231,5,FALSE))</f>
        <v>0</v>
      </c>
      <c r="D193">
        <f ca="1">IF(ISBLANK(A193), "", IF(COUNTIF('Annotated Papers'!A:A,A193)&gt;1,1,0))</f>
        <v>0</v>
      </c>
      <c r="E193">
        <f ca="1">IF(ISBLANK(A193), "", IF(SUMIFS('Annotated Papers'!G:G, 'Annotated Papers'!A:A,A193)&gt;0,1,0))</f>
        <v>0</v>
      </c>
      <c r="F193">
        <f ca="1">IF(ISBLANK(A193), "", IF(SUMIFS('Annotated Papers'!H:H, 'Annotated Papers'!A:A,A193)&gt;0,1,0))</f>
        <v>1</v>
      </c>
      <c r="G193" t="e">
        <f ca="1">IF(ISBLANK(A193), "", IF(SUMIFS('Annotated Papers'!I:I, 'Annotated Papers'!A:A,A193)&gt;0,1,0))</f>
        <v>#NAME?</v>
      </c>
      <c r="H193">
        <f ca="1">IF(ISBLANK(A193), "", IF(SUMIFS('Annotated Papers'!L:L, 'Annotated Papers'!A:A,A193)&gt;0,1,0))</f>
        <v>0</v>
      </c>
    </row>
    <row r="194" spans="1:8" ht="14">
      <c r="A194" s="26" t="str">
        <f ca="1">IFERROR(__xludf.DUMMYFUNCTION("""COMPUTED_VALUE"""),"Time Aggregation and Model Interpretation for Deep Multivariate Longitudinal Patient Outcome Forecasting Systems in Chronic Ambulatory Care")</f>
        <v>Time Aggregation and Model Interpretation for Deep Multivariate Longitudinal Patient Outcome Forecasting Systems in Chronic Ambulatory Care</v>
      </c>
      <c r="B194" t="str">
        <f ca="1">IF(ISBLANK(A194), "", VLOOKUP(A194,'Annotated Papers'!193:1232,2,FALSE))</f>
        <v>ML4H</v>
      </c>
      <c r="C194" s="24">
        <f ca="1">IF(ISBLANK(A194), "", VLOOKUP(A194,'Annotated Papers'!193:1232,5,FALSE))</f>
        <v>0</v>
      </c>
      <c r="D194">
        <f ca="1">IF(ISBLANK(A194), "", IF(COUNTIF('Annotated Papers'!A:A,A194)&gt;1,1,0))</f>
        <v>0</v>
      </c>
      <c r="E194">
        <f ca="1">IF(ISBLANK(A194), "", IF(SUMIFS('Annotated Papers'!G:G, 'Annotated Papers'!A:A,A194)&gt;0,1,0))</f>
        <v>1</v>
      </c>
      <c r="F194">
        <f ca="1">IF(ISBLANK(A194), "", IF(SUMIFS('Annotated Papers'!H:H, 'Annotated Papers'!A:A,A194)&gt;0,1,0))</f>
        <v>0</v>
      </c>
      <c r="G194" t="e">
        <f ca="1">IF(ISBLANK(A194), "", IF(SUMIFS('Annotated Papers'!I:I, 'Annotated Papers'!A:A,A194)&gt;0,1,0))</f>
        <v>#NAME?</v>
      </c>
      <c r="H194">
        <f ca="1">IF(ISBLANK(A194), "", IF(SUMIFS('Annotated Papers'!L:L, 'Annotated Papers'!A:A,A194)&gt;0,1,0))</f>
        <v>1</v>
      </c>
    </row>
    <row r="195" spans="1:8" ht="14">
      <c r="A195" s="25" t="str">
        <f ca="1">IFERROR(__xludf.DUMMYFUNCTION("""COMPUTED_VALUE"""),"ProstateGAN: Mitigating Data Bias via Prostate Diffusion Imaging Synthesis with Generative Adversarial Networks")</f>
        <v>ProstateGAN: Mitigating Data Bias via Prostate Diffusion Imaging Synthesis with Generative Adversarial Networks</v>
      </c>
      <c r="B195" t="str">
        <f ca="1">IF(ISBLANK(A195), "", VLOOKUP(A195,'Annotated Papers'!194:1233,2,FALSE))</f>
        <v>ML4H</v>
      </c>
      <c r="C195" s="24">
        <f ca="1">IF(ISBLANK(A195), "", VLOOKUP(A195,'Annotated Papers'!194:1233,5,FALSE))</f>
        <v>0</v>
      </c>
      <c r="D195">
        <f ca="1">IF(ISBLANK(A195), "", IF(COUNTIF('Annotated Papers'!A:A,A195)&gt;1,1,0))</f>
        <v>0</v>
      </c>
      <c r="E195">
        <f ca="1">IF(ISBLANK(A195), "", IF(SUMIFS('Annotated Papers'!G:G, 'Annotated Papers'!A:A,A195)&gt;0,1,0))</f>
        <v>1</v>
      </c>
      <c r="F195">
        <f ca="1">IF(ISBLANK(A195), "", IF(SUMIFS('Annotated Papers'!H:H, 'Annotated Papers'!A:A,A195)&gt;0,1,0))</f>
        <v>0</v>
      </c>
      <c r="G195" t="e">
        <f ca="1">IF(ISBLANK(A195), "", IF(SUMIFS('Annotated Papers'!I:I, 'Annotated Papers'!A:A,A195)&gt;0,1,0))</f>
        <v>#NAME?</v>
      </c>
      <c r="H195">
        <f ca="1">IF(ISBLANK(A195), "", IF(SUMIFS('Annotated Papers'!L:L, 'Annotated Papers'!A:A,A195)&gt;0,1,0))</f>
        <v>0</v>
      </c>
    </row>
    <row r="196" spans="1:8" ht="14">
      <c r="A196" s="26" t="str">
        <f ca="1">IFERROR(__xludf.DUMMYFUNCTION("""COMPUTED_VALUE"""),"Predicting Language Recovery after Stroke with Convolutional Networks on Stitched MRI")</f>
        <v>Predicting Language Recovery after Stroke with Convolutional Networks on Stitched MRI</v>
      </c>
      <c r="B196" t="str">
        <f ca="1">IF(ISBLANK(A196), "", VLOOKUP(A196,'Annotated Papers'!195:1234,2,FALSE))</f>
        <v>ML4H</v>
      </c>
      <c r="C196" s="24">
        <f ca="1">IF(ISBLANK(A196), "", VLOOKUP(A196,'Annotated Papers'!195:1234,5,FALSE))</f>
        <v>0</v>
      </c>
      <c r="D196">
        <f ca="1">IF(ISBLANK(A196), "", IF(COUNTIF('Annotated Papers'!A:A,A196)&gt;1,1,0))</f>
        <v>0</v>
      </c>
      <c r="E196">
        <f ca="1">IF(ISBLANK(A196), "", IF(SUMIFS('Annotated Papers'!G:G, 'Annotated Papers'!A:A,A196)&gt;0,1,0))</f>
        <v>1</v>
      </c>
      <c r="F196">
        <f ca="1">IF(ISBLANK(A196), "", IF(SUMIFS('Annotated Papers'!H:H, 'Annotated Papers'!A:A,A196)&gt;0,1,0))</f>
        <v>1</v>
      </c>
      <c r="G196" t="e">
        <f ca="1">IF(ISBLANK(A196), "", IF(SUMIFS('Annotated Papers'!I:I, 'Annotated Papers'!A:A,A196)&gt;0,1,0))</f>
        <v>#NAME?</v>
      </c>
      <c r="H196">
        <f ca="1">IF(ISBLANK(A196), "", IF(SUMIFS('Annotated Papers'!L:L, 'Annotated Papers'!A:A,A196)&gt;0,1,0))</f>
        <v>0</v>
      </c>
    </row>
    <row r="197" spans="1:8" ht="14">
      <c r="A197" s="26" t="str">
        <f ca="1">IFERROR(__xludf.DUMMYFUNCTION("""COMPUTED_VALUE"""),"The Effect of Heterogeneous Data for Alzheimer's Disease Detection from Speech")</f>
        <v>The Effect of Heterogeneous Data for Alzheimer's Disease Detection from Speech</v>
      </c>
      <c r="B197" t="str">
        <f ca="1">IF(ISBLANK(A197), "", VLOOKUP(A197,'Annotated Papers'!196:1235,2,FALSE))</f>
        <v>ML4H</v>
      </c>
      <c r="C197" s="24">
        <f ca="1">IF(ISBLANK(A197), "", VLOOKUP(A197,'Annotated Papers'!196:1235,5,FALSE))</f>
        <v>0</v>
      </c>
      <c r="D197">
        <f ca="1">IF(ISBLANK(A197), "", IF(COUNTIF('Annotated Papers'!A:A,A197)&gt;1,1,0))</f>
        <v>1</v>
      </c>
      <c r="E197">
        <f ca="1">IF(ISBLANK(A197), "", IF(SUMIFS('Annotated Papers'!G:G, 'Annotated Papers'!A:A,A197)&gt;0,1,0))</f>
        <v>0</v>
      </c>
      <c r="F197">
        <f ca="1">IF(ISBLANK(A197), "", IF(SUMIFS('Annotated Papers'!H:H, 'Annotated Papers'!A:A,A197)&gt;0,1,0))</f>
        <v>1</v>
      </c>
      <c r="G197" t="e">
        <f ca="1">IF(ISBLANK(A197), "", IF(SUMIFS('Annotated Papers'!I:I, 'Annotated Papers'!A:A,A197)&gt;0,1,0))</f>
        <v>#NAME?</v>
      </c>
      <c r="H197">
        <f ca="1">IF(ISBLANK(A197), "", IF(SUMIFS('Annotated Papers'!L:L, 'Annotated Papers'!A:A,A197)&gt;0,1,0))</f>
        <v>1</v>
      </c>
    </row>
    <row r="198" spans="1:8" ht="14">
      <c r="A198" s="26" t="str">
        <f ca="1">IFERROR(__xludf.DUMMYFUNCTION("""COMPUTED_VALUE"""),"Corresponding Projections for Orphan Screening")</f>
        <v>Corresponding Projections for Orphan Screening</v>
      </c>
      <c r="B198" t="str">
        <f ca="1">IF(ISBLANK(A198), "", VLOOKUP(A198,'Annotated Papers'!197:1236,2,FALSE))</f>
        <v>ML4H</v>
      </c>
      <c r="C198" s="24">
        <f ca="1">IF(ISBLANK(A198), "", VLOOKUP(A198,'Annotated Papers'!197:1236,5,FALSE))</f>
        <v>1</v>
      </c>
      <c r="D198">
        <f ca="1">IF(ISBLANK(A198), "", IF(COUNTIF('Annotated Papers'!A:A,A198)&gt;1,1,0))</f>
        <v>0</v>
      </c>
      <c r="E198">
        <f ca="1">IF(ISBLANK(A198), "", IF(SUMIFS('Annotated Papers'!G:G, 'Annotated Papers'!A:A,A198)&gt;0,1,0))</f>
        <v>0</v>
      </c>
      <c r="F198">
        <f ca="1">IF(ISBLANK(A198), "", IF(SUMIFS('Annotated Papers'!H:H, 'Annotated Papers'!A:A,A198)&gt;0,1,0))</f>
        <v>1</v>
      </c>
      <c r="G198" t="e">
        <f ca="1">IF(ISBLANK(A198), "", IF(SUMIFS('Annotated Papers'!I:I, 'Annotated Papers'!A:A,A198)&gt;0,1,0))</f>
        <v>#NAME?</v>
      </c>
      <c r="H198">
        <f ca="1">IF(ISBLANK(A198), "", IF(SUMIFS('Annotated Papers'!L:L, 'Annotated Papers'!A:A,A198)&gt;0,1,0))</f>
        <v>1</v>
      </c>
    </row>
    <row r="199" spans="1:8" ht="14">
      <c r="A199" s="25" t="str">
        <f ca="1">IFERROR(__xludf.DUMMYFUNCTION("""COMPUTED_VALUE"""),"Deep Learning with Attention to Predict Gestational Age of the Fetal Brain")</f>
        <v>Deep Learning with Attention to Predict Gestational Age of the Fetal Brain</v>
      </c>
      <c r="B199" t="str">
        <f ca="1">IF(ISBLANK(A199), "", VLOOKUP(A199,'Annotated Papers'!198:1237,2,FALSE))</f>
        <v>ML4H</v>
      </c>
      <c r="C199" s="24">
        <f ca="1">IF(ISBLANK(A199), "", VLOOKUP(A199,'Annotated Papers'!198:1237,5,FALSE))</f>
        <v>0</v>
      </c>
      <c r="D199">
        <f ca="1">IF(ISBLANK(A199), "", IF(COUNTIF('Annotated Papers'!A:A,A199)&gt;1,1,0))</f>
        <v>0</v>
      </c>
      <c r="E199">
        <f ca="1">IF(ISBLANK(A199), "", IF(SUMIFS('Annotated Papers'!G:G, 'Annotated Papers'!A:A,A199)&gt;0,1,0))</f>
        <v>0</v>
      </c>
      <c r="F199">
        <f ca="1">IF(ISBLANK(A199), "", IF(SUMIFS('Annotated Papers'!H:H, 'Annotated Papers'!A:A,A199)&gt;0,1,0))</f>
        <v>0</v>
      </c>
      <c r="G199" t="e">
        <f ca="1">IF(ISBLANK(A199), "", IF(SUMIFS('Annotated Papers'!I:I, 'Annotated Papers'!A:A,A199)&gt;0,1,0))</f>
        <v>#NAME?</v>
      </c>
      <c r="H199">
        <f ca="1">IF(ISBLANK(A199), "", IF(SUMIFS('Annotated Papers'!L:L, 'Annotated Papers'!A:A,A199)&gt;0,1,0))</f>
        <v>0</v>
      </c>
    </row>
    <row r="200" spans="1:8" ht="14">
      <c r="A200" s="26" t="str">
        <f ca="1">IFERROR(__xludf.DUMMYFUNCTION("""COMPUTED_VALUE"""),"Rank Projection Trees for Multilevel Neural Network Interpretation")</f>
        <v>Rank Projection Trees for Multilevel Neural Network Interpretation</v>
      </c>
      <c r="B200" t="str">
        <f ca="1">IF(ISBLANK(A200), "", VLOOKUP(A200,'Annotated Papers'!199:1238,2,FALSE))</f>
        <v>ML4H</v>
      </c>
      <c r="C200" s="24">
        <f ca="1">IF(ISBLANK(A200), "", VLOOKUP(A200,'Annotated Papers'!199:1238,5,FALSE))</f>
        <v>0</v>
      </c>
      <c r="D200">
        <f ca="1">IF(ISBLANK(A200), "", IF(COUNTIF('Annotated Papers'!A:A,A200)&gt;1,1,0))</f>
        <v>1</v>
      </c>
      <c r="E200">
        <f ca="1">IF(ISBLANK(A200), "", IF(SUMIFS('Annotated Papers'!G:G, 'Annotated Papers'!A:A,A200)&gt;0,1,0))</f>
        <v>0</v>
      </c>
      <c r="F200">
        <f ca="1">IF(ISBLANK(A200), "", IF(SUMIFS('Annotated Papers'!H:H, 'Annotated Papers'!A:A,A200)&gt;0,1,0))</f>
        <v>1</v>
      </c>
      <c r="G200" t="e">
        <f ca="1">IF(ISBLANK(A200), "", IF(SUMIFS('Annotated Papers'!I:I, 'Annotated Papers'!A:A,A200)&gt;0,1,0))</f>
        <v>#NAME?</v>
      </c>
      <c r="H200">
        <f ca="1">IF(ISBLANK(A200), "", IF(SUMIFS('Annotated Papers'!L:L, 'Annotated Papers'!A:A,A200)&gt;0,1,0))</f>
        <v>1</v>
      </c>
    </row>
    <row r="201" spans="1:8" ht="14">
      <c r="A201" s="26" t="str">
        <f ca="1">IFERROR(__xludf.DUMMYFUNCTION("""COMPUTED_VALUE"""),"Using permutations to assess confounding in machine learning applications for digital health")</f>
        <v>Using permutations to assess confounding in machine learning applications for digital health</v>
      </c>
      <c r="B201" t="str">
        <f ca="1">IF(ISBLANK(A201), "", VLOOKUP(A201,'Annotated Papers'!200:1239,2,FALSE))</f>
        <v>ML4H</v>
      </c>
      <c r="C201" s="24">
        <f ca="1">IF(ISBLANK(A201), "", VLOOKUP(A201,'Annotated Papers'!200:1239,5,FALSE))</f>
        <v>0</v>
      </c>
      <c r="D201">
        <f ca="1">IF(ISBLANK(A201), "", IF(COUNTIF('Annotated Papers'!A:A,A201)&gt;1,1,0))</f>
        <v>0</v>
      </c>
      <c r="E201">
        <f ca="1">IF(ISBLANK(A201), "", IF(SUMIFS('Annotated Papers'!G:G, 'Annotated Papers'!A:A,A201)&gt;0,1,0))</f>
        <v>1</v>
      </c>
      <c r="F201">
        <f ca="1">IF(ISBLANK(A201), "", IF(SUMIFS('Annotated Papers'!H:H, 'Annotated Papers'!A:A,A201)&gt;0,1,0))</f>
        <v>0</v>
      </c>
      <c r="G201" t="e">
        <f ca="1">IF(ISBLANK(A201), "", IF(SUMIFS('Annotated Papers'!I:I, 'Annotated Papers'!A:A,A201)&gt;0,1,0))</f>
        <v>#NAME?</v>
      </c>
      <c r="H201">
        <f ca="1">IF(ISBLANK(A201), "", IF(SUMIFS('Annotated Papers'!L:L, 'Annotated Papers'!A:A,A201)&gt;0,1,0))</f>
        <v>1</v>
      </c>
    </row>
    <row r="202" spans="1:8" ht="14">
      <c r="A202" s="26" t="str">
        <f ca="1">IFERROR(__xludf.DUMMYFUNCTION("""COMPUTED_VALUE"""),"Robustness against the channel effect in pathological voice detection")</f>
        <v>Robustness against the channel effect in pathological voice detection</v>
      </c>
      <c r="B202" t="str">
        <f ca="1">IF(ISBLANK(A202), "", VLOOKUP(A202,'Annotated Papers'!201:1240,2,FALSE))</f>
        <v>ML4H</v>
      </c>
      <c r="C202" s="24">
        <f ca="1">IF(ISBLANK(A202), "", VLOOKUP(A202,'Annotated Papers'!201:1240,5,FALSE))</f>
        <v>0</v>
      </c>
      <c r="D202">
        <f ca="1">IF(ISBLANK(A202), "", IF(COUNTIF('Annotated Papers'!A:A,A202)&gt;1,1,0))</f>
        <v>0</v>
      </c>
      <c r="E202">
        <f ca="1">IF(ISBLANK(A202), "", IF(SUMIFS('Annotated Papers'!G:G, 'Annotated Papers'!A:A,A202)&gt;0,1,0))</f>
        <v>1</v>
      </c>
      <c r="F202">
        <f ca="1">IF(ISBLANK(A202), "", IF(SUMIFS('Annotated Papers'!H:H, 'Annotated Papers'!A:A,A202)&gt;0,1,0))</f>
        <v>0</v>
      </c>
      <c r="G202" t="e">
        <f ca="1">IF(ISBLANK(A202), "", IF(SUMIFS('Annotated Papers'!I:I, 'Annotated Papers'!A:A,A202)&gt;0,1,0))</f>
        <v>#NAME?</v>
      </c>
      <c r="H202">
        <f ca="1">IF(ISBLANK(A202), "", IF(SUMIFS('Annotated Papers'!L:L, 'Annotated Papers'!A:A,A202)&gt;0,1,0))</f>
        <v>0</v>
      </c>
    </row>
    <row r="203" spans="1:8" ht="14">
      <c r="A203" s="25" t="str">
        <f ca="1">IFERROR(__xludf.DUMMYFUNCTION("""COMPUTED_VALUE"""),"Learning to Unlearn: Building Immunity to Dataset Bias in Medical Imaging Studies")</f>
        <v>Learning to Unlearn: Building Immunity to Dataset Bias in Medical Imaging Studies</v>
      </c>
      <c r="B203" t="str">
        <f ca="1">IF(ISBLANK(A203), "", VLOOKUP(A203,'Annotated Papers'!202:1241,2,FALSE))</f>
        <v>ML4H</v>
      </c>
      <c r="C203" s="24">
        <f ca="1">IF(ISBLANK(A203), "", VLOOKUP(A203,'Annotated Papers'!202:1241,5,FALSE))</f>
        <v>0</v>
      </c>
      <c r="D203">
        <f ca="1">IF(ISBLANK(A203), "", IF(COUNTIF('Annotated Papers'!A:A,A203)&gt;1,1,0))</f>
        <v>1</v>
      </c>
      <c r="E203">
        <f ca="1">IF(ISBLANK(A203), "", IF(SUMIFS('Annotated Papers'!G:G, 'Annotated Papers'!A:A,A203)&gt;0,1,0))</f>
        <v>1</v>
      </c>
      <c r="F203">
        <f ca="1">IF(ISBLANK(A203), "", IF(SUMIFS('Annotated Papers'!H:H, 'Annotated Papers'!A:A,A203)&gt;0,1,0))</f>
        <v>1</v>
      </c>
      <c r="G203" t="e">
        <f ca="1">IF(ISBLANK(A203), "", IF(SUMIFS('Annotated Papers'!I:I, 'Annotated Papers'!A:A,A203)&gt;0,1,0))</f>
        <v>#NAME?</v>
      </c>
      <c r="H203">
        <f ca="1">IF(ISBLANK(A203), "", IF(SUMIFS('Annotated Papers'!L:L, 'Annotated Papers'!A:A,A203)&gt;0,1,0))</f>
        <v>0</v>
      </c>
    </row>
    <row r="204" spans="1:8" ht="14">
      <c r="A204" s="25" t="str">
        <f ca="1">IFERROR(__xludf.DUMMYFUNCTION("""COMPUTED_VALUE"""),"Modeling the Biological Pathology Continuum with HSIC-regularized Wasserstein Auto-encoders")</f>
        <v>Modeling the Biological Pathology Continuum with HSIC-regularized Wasserstein Auto-encoders</v>
      </c>
      <c r="B204" t="str">
        <f ca="1">IF(ISBLANK(A204), "", VLOOKUP(A204,'Annotated Papers'!203:1242,2,FALSE))</f>
        <v>ML4H</v>
      </c>
      <c r="C204" s="24">
        <f ca="1">IF(ISBLANK(A204), "", VLOOKUP(A204,'Annotated Papers'!203:1242,5,FALSE))</f>
        <v>0</v>
      </c>
      <c r="D204">
        <f ca="1">IF(ISBLANK(A204), "", IF(COUNTIF('Annotated Papers'!A:A,A204)&gt;1,1,0))</f>
        <v>1</v>
      </c>
      <c r="E204">
        <f ca="1">IF(ISBLANK(A204), "", IF(SUMIFS('Annotated Papers'!G:G, 'Annotated Papers'!A:A,A204)&gt;0,1,0))</f>
        <v>0</v>
      </c>
      <c r="F204">
        <f ca="1">IF(ISBLANK(A204), "", IF(SUMIFS('Annotated Papers'!H:H, 'Annotated Papers'!A:A,A204)&gt;0,1,0))</f>
        <v>1</v>
      </c>
      <c r="G204" t="e">
        <f ca="1">IF(ISBLANK(A204), "", IF(SUMIFS('Annotated Papers'!I:I, 'Annotated Papers'!A:A,A204)&gt;0,1,0))</f>
        <v>#NAME?</v>
      </c>
      <c r="H204">
        <f ca="1">IF(ISBLANK(A204), "", IF(SUMIFS('Annotated Papers'!L:L, 'Annotated Papers'!A:A,A204)&gt;0,1,0))</f>
        <v>0</v>
      </c>
    </row>
    <row r="205" spans="1:8" ht="14">
      <c r="A205" s="26" t="str">
        <f ca="1">IFERROR(__xludf.DUMMYFUNCTION("""COMPUTED_VALUE"""),"Unsupervised Multimodal Representation Learning across Medical Images and Reports")</f>
        <v>Unsupervised Multimodal Representation Learning across Medical Images and Reports</v>
      </c>
      <c r="B205" t="str">
        <f ca="1">IF(ISBLANK(A205), "", VLOOKUP(A205,'Annotated Papers'!204:1243,2,FALSE))</f>
        <v>ML4H</v>
      </c>
      <c r="C205" s="24">
        <f ca="1">IF(ISBLANK(A205), "", VLOOKUP(A205,'Annotated Papers'!204:1243,5,FALSE))</f>
        <v>0</v>
      </c>
      <c r="D205">
        <f ca="1">IF(ISBLANK(A205), "", IF(COUNTIF('Annotated Papers'!A:A,A205)&gt;1,1,0))</f>
        <v>0</v>
      </c>
      <c r="E205">
        <f ca="1">IF(ISBLANK(A205), "", IF(SUMIFS('Annotated Papers'!G:G, 'Annotated Papers'!A:A,A205)&gt;0,1,0))</f>
        <v>1</v>
      </c>
      <c r="F205">
        <f ca="1">IF(ISBLANK(A205), "", IF(SUMIFS('Annotated Papers'!H:H, 'Annotated Papers'!A:A,A205)&gt;0,1,0))</f>
        <v>1</v>
      </c>
      <c r="G205" t="e">
        <f ca="1">IF(ISBLANK(A205), "", IF(SUMIFS('Annotated Papers'!I:I, 'Annotated Papers'!A:A,A205)&gt;0,1,0))</f>
        <v>#NAME?</v>
      </c>
      <c r="H205">
        <f ca="1">IF(ISBLANK(A205), "", IF(SUMIFS('Annotated Papers'!L:L, 'Annotated Papers'!A:A,A205)&gt;0,1,0))</f>
        <v>1</v>
      </c>
    </row>
    <row r="206" spans="1:8" ht="14">
      <c r="A206" s="25" t="str">
        <f ca="1">IFERROR(__xludf.DUMMYFUNCTION("""COMPUTED_VALUE"""),"Deep Sequence Modeling for Hemorrhage Diagnosis")</f>
        <v>Deep Sequence Modeling for Hemorrhage Diagnosis</v>
      </c>
      <c r="B206" t="str">
        <f ca="1">IF(ISBLANK(A206), "", VLOOKUP(A206,'Annotated Papers'!205:1244,2,FALSE))</f>
        <v>ML4H</v>
      </c>
      <c r="C206" s="24">
        <f ca="1">IF(ISBLANK(A206), "", VLOOKUP(A206,'Annotated Papers'!205:1244,5,FALSE))</f>
        <v>0</v>
      </c>
      <c r="D206">
        <f ca="1">IF(ISBLANK(A206), "", IF(COUNTIF('Annotated Papers'!A:A,A206)&gt;1,1,0))</f>
        <v>0</v>
      </c>
      <c r="E206">
        <f ca="1">IF(ISBLANK(A206), "", IF(SUMIFS('Annotated Papers'!G:G, 'Annotated Papers'!A:A,A206)&gt;0,1,0))</f>
        <v>0</v>
      </c>
      <c r="F206">
        <f ca="1">IF(ISBLANK(A206), "", IF(SUMIFS('Annotated Papers'!H:H, 'Annotated Papers'!A:A,A206)&gt;0,1,0))</f>
        <v>0</v>
      </c>
      <c r="G206" t="e">
        <f ca="1">IF(ISBLANK(A206), "", IF(SUMIFS('Annotated Papers'!I:I, 'Annotated Papers'!A:A,A206)&gt;0,1,0))</f>
        <v>#NAME?</v>
      </c>
      <c r="H206">
        <f ca="1">IF(ISBLANK(A206), "", IF(SUMIFS('Annotated Papers'!L:L, 'Annotated Papers'!A:A,A206)&gt;0,1,0))</f>
        <v>1</v>
      </c>
    </row>
    <row r="207" spans="1:8" ht="14">
      <c r="A207" s="25" t="str">
        <f ca="1">IFERROR(__xludf.DUMMYFUNCTION("""COMPUTED_VALUE"""),"Unsupervised Pseudo-Labeling for Extractive Summarization on Electronic Health Records")</f>
        <v>Unsupervised Pseudo-Labeling for Extractive Summarization on Electronic Health Records</v>
      </c>
      <c r="B207" t="str">
        <f ca="1">IF(ISBLANK(A207), "", VLOOKUP(A207,'Annotated Papers'!206:1245,2,FALSE))</f>
        <v>ML4H</v>
      </c>
      <c r="C207" s="24">
        <f ca="1">IF(ISBLANK(A207), "", VLOOKUP(A207,'Annotated Papers'!206:1245,5,FALSE))</f>
        <v>0</v>
      </c>
      <c r="D207">
        <f ca="1">IF(ISBLANK(A207), "", IF(COUNTIF('Annotated Papers'!A:A,A207)&gt;1,1,0))</f>
        <v>0</v>
      </c>
      <c r="E207">
        <f ca="1">IF(ISBLANK(A207), "", IF(SUMIFS('Annotated Papers'!G:G, 'Annotated Papers'!A:A,A207)&gt;0,1,0))</f>
        <v>1</v>
      </c>
      <c r="F207">
        <f ca="1">IF(ISBLANK(A207), "", IF(SUMIFS('Annotated Papers'!H:H, 'Annotated Papers'!A:A,A207)&gt;0,1,0))</f>
        <v>0</v>
      </c>
      <c r="G207" t="e">
        <f ca="1">IF(ISBLANK(A207), "", IF(SUMIFS('Annotated Papers'!I:I, 'Annotated Papers'!A:A,A207)&gt;0,1,0))</f>
        <v>#NAME?</v>
      </c>
      <c r="H207">
        <f ca="1">IF(ISBLANK(A207), "", IF(SUMIFS('Annotated Papers'!L:L, 'Annotated Papers'!A:A,A207)&gt;0,1,0))</f>
        <v>0</v>
      </c>
    </row>
    <row r="208" spans="1:8" ht="14">
      <c r="A208" s="26" t="str">
        <f ca="1">IFERROR(__xludf.DUMMYFUNCTION("""COMPUTED_VALUE"""),"A Deep Generative Model of Vowel Formant Typology")</f>
        <v>A Deep Generative Model of Vowel Formant Typology</v>
      </c>
      <c r="B208" t="str">
        <f ca="1">IF(ISBLANK(A208), "", VLOOKUP(A208,'Annotated Papers'!207:1246,2,FALSE))</f>
        <v>NLP</v>
      </c>
      <c r="C208" s="24">
        <f ca="1">IF(ISBLANK(A208), "", VLOOKUP(A208,'Annotated Papers'!207:1246,5,FALSE))</f>
        <v>0</v>
      </c>
      <c r="D208">
        <f ca="1">IF(ISBLANK(A208), "", IF(COUNTIF('Annotated Papers'!A:A,A208)&gt;1,1,0))</f>
        <v>0</v>
      </c>
      <c r="E208">
        <f ca="1">IF(ISBLANK(A208), "", IF(SUMIFS('Annotated Papers'!G:G, 'Annotated Papers'!A:A,A208)&gt;0,1,0))</f>
        <v>0</v>
      </c>
      <c r="F208">
        <f ca="1">IF(ISBLANK(A208), "", IF(SUMIFS('Annotated Papers'!H:H, 'Annotated Papers'!A:A,A208)&gt;0,1,0))</f>
        <v>1</v>
      </c>
      <c r="G208" t="e">
        <f ca="1">IF(ISBLANK(A208), "", IF(SUMIFS('Annotated Papers'!I:I, 'Annotated Papers'!A:A,A208)&gt;0,1,0))</f>
        <v>#NAME?</v>
      </c>
      <c r="H208">
        <f ca="1">IF(ISBLANK(A208), "", IF(SUMIFS('Annotated Papers'!L:L, 'Annotated Papers'!A:A,A208)&gt;0,1,0))</f>
        <v>0</v>
      </c>
    </row>
    <row r="209" spans="1:8" ht="14">
      <c r="A209" s="26" t="str">
        <f ca="1">IFERROR(__xludf.DUMMYFUNCTION("""COMPUTED_VALUE"""),"Joint Bootstrapping Machines for High Confidence Relation Extraction")</f>
        <v>Joint Bootstrapping Machines for High Confidence Relation Extraction</v>
      </c>
      <c r="B209" t="str">
        <f ca="1">IF(ISBLANK(A209), "", VLOOKUP(A209,'Annotated Papers'!208:1247,2,FALSE))</f>
        <v>NLP</v>
      </c>
      <c r="C209" s="24">
        <f ca="1">IF(ISBLANK(A209), "", VLOOKUP(A209,'Annotated Papers'!208:1247,5,FALSE))</f>
        <v>1</v>
      </c>
      <c r="D209">
        <f ca="1">IF(ISBLANK(A209), "", IF(COUNTIF('Annotated Papers'!A:A,A209)&gt;1,1,0))</f>
        <v>0</v>
      </c>
      <c r="E209">
        <f ca="1">IF(ISBLANK(A209), "", IF(SUMIFS('Annotated Papers'!G:G, 'Annotated Papers'!A:A,A209)&gt;0,1,0))</f>
        <v>0</v>
      </c>
      <c r="F209">
        <f ca="1">IF(ISBLANK(A209), "", IF(SUMIFS('Annotated Papers'!H:H, 'Annotated Papers'!A:A,A209)&gt;0,1,0))</f>
        <v>1</v>
      </c>
      <c r="G209" t="e">
        <f ca="1">IF(ISBLANK(A209), "", IF(SUMIFS('Annotated Papers'!I:I, 'Annotated Papers'!A:A,A209)&gt;0,1,0))</f>
        <v>#NAME?</v>
      </c>
      <c r="H209">
        <f ca="1">IF(ISBLANK(A209), "", IF(SUMIFS('Annotated Papers'!L:L, 'Annotated Papers'!A:A,A209)&gt;0,1,0))</f>
        <v>0</v>
      </c>
    </row>
    <row r="210" spans="1:8" ht="14">
      <c r="A210" s="26" t="str">
        <f ca="1">IFERROR(__xludf.DUMMYFUNCTION("""COMPUTED_VALUE"""),"Fortification of Neural Morphological Segmentation Models for Polysynthetic Minimal-Resource Languages")</f>
        <v>Fortification of Neural Morphological Segmentation Models for Polysynthetic Minimal-Resource Languages</v>
      </c>
      <c r="B210" t="str">
        <f ca="1">IF(ISBLANK(A210), "", VLOOKUP(A210,'Annotated Papers'!209:1248,2,FALSE))</f>
        <v>NLP</v>
      </c>
      <c r="C210" s="24">
        <f ca="1">IF(ISBLANK(A210), "", VLOOKUP(A210,'Annotated Papers'!209:1248,5,FALSE))</f>
        <v>1</v>
      </c>
      <c r="D210">
        <f ca="1">IF(ISBLANK(A210), "", IF(COUNTIF('Annotated Papers'!A:A,A210)&gt;1,1,0))</f>
        <v>1</v>
      </c>
      <c r="E210">
        <f ca="1">IF(ISBLANK(A210), "", IF(SUMIFS('Annotated Papers'!G:G, 'Annotated Papers'!A:A,A210)&gt;0,1,0))</f>
        <v>0</v>
      </c>
      <c r="F210">
        <f ca="1">IF(ISBLANK(A210), "", IF(SUMIFS('Annotated Papers'!H:H, 'Annotated Papers'!A:A,A210)&gt;0,1,0))</f>
        <v>1</v>
      </c>
      <c r="G210" t="e">
        <f ca="1">IF(ISBLANK(A210), "", IF(SUMIFS('Annotated Papers'!I:I, 'Annotated Papers'!A:A,A210)&gt;0,1,0))</f>
        <v>#NAME?</v>
      </c>
      <c r="H210">
        <f ca="1">IF(ISBLANK(A210), "", IF(SUMIFS('Annotated Papers'!L:L, 'Annotated Papers'!A:A,A210)&gt;0,1,0))</f>
        <v>0</v>
      </c>
    </row>
    <row r="211" spans="1:8" ht="14">
      <c r="A211" s="25" t="str">
        <f ca="1">IFERROR(__xludf.DUMMYFUNCTION("""COMPUTED_VALUE"""),"Entity-Centric Joint Modeling of Japanese Coreference Resolution and Predicate Argument Structure Analysis")</f>
        <v>Entity-Centric Joint Modeling of Japanese Coreference Resolution and Predicate Argument Structure Analysis</v>
      </c>
      <c r="B211" t="str">
        <f ca="1">IF(ISBLANK(A211), "", VLOOKUP(A211,'Annotated Papers'!210:1249,2,FALSE))</f>
        <v>NLP</v>
      </c>
      <c r="C211" s="24">
        <f ca="1">IF(ISBLANK(A211), "", VLOOKUP(A211,'Annotated Papers'!210:1249,5,FALSE))</f>
        <v>0</v>
      </c>
      <c r="D211">
        <f ca="1">IF(ISBLANK(A211), "", IF(COUNTIF('Annotated Papers'!A:A,A211)&gt;1,1,0))</f>
        <v>1</v>
      </c>
      <c r="E211">
        <f ca="1">IF(ISBLANK(A211), "", IF(SUMIFS('Annotated Papers'!G:G, 'Annotated Papers'!A:A,A211)&gt;0,1,0))</f>
        <v>0</v>
      </c>
      <c r="F211">
        <f ca="1">IF(ISBLANK(A211), "", IF(SUMIFS('Annotated Papers'!H:H, 'Annotated Papers'!A:A,A211)&gt;0,1,0))</f>
        <v>1</v>
      </c>
      <c r="G211" t="e">
        <f ca="1">IF(ISBLANK(A211), "", IF(SUMIFS('Annotated Papers'!I:I, 'Annotated Papers'!A:A,A211)&gt;0,1,0))</f>
        <v>#NAME?</v>
      </c>
      <c r="H211">
        <f ca="1">IF(ISBLANK(A211), "", IF(SUMIFS('Annotated Papers'!L:L, 'Annotated Papers'!A:A,A211)&gt;0,1,0))</f>
        <v>0</v>
      </c>
    </row>
    <row r="212" spans="1:8" ht="14">
      <c r="A212" s="25" t="str">
        <f ca="1">IFERROR(__xludf.DUMMYFUNCTION("""COMPUTED_VALUE"""),"Joint Reasoning for Temporal and Causal Relations")</f>
        <v>Joint Reasoning for Temporal and Causal Relations</v>
      </c>
      <c r="B212" t="str">
        <f ca="1">IF(ISBLANK(A212), "", VLOOKUP(A212,'Annotated Papers'!211:1250,2,FALSE))</f>
        <v>NLP</v>
      </c>
      <c r="C212" s="24">
        <f ca="1">IF(ISBLANK(A212), "", VLOOKUP(A212,'Annotated Papers'!211:1250,5,FALSE))</f>
        <v>1</v>
      </c>
      <c r="D212">
        <f ca="1">IF(ISBLANK(A212), "", IF(COUNTIF('Annotated Papers'!A:A,A212)&gt;1,1,0))</f>
        <v>1</v>
      </c>
      <c r="E212">
        <f ca="1">IF(ISBLANK(A212), "", IF(SUMIFS('Annotated Papers'!G:G, 'Annotated Papers'!A:A,A212)&gt;0,1,0))</f>
        <v>0</v>
      </c>
      <c r="F212">
        <f ca="1">IF(ISBLANK(A212), "", IF(SUMIFS('Annotated Papers'!H:H, 'Annotated Papers'!A:A,A212)&gt;0,1,0))</f>
        <v>1</v>
      </c>
      <c r="G212" t="e">
        <f ca="1">IF(ISBLANK(A212), "", IF(SUMIFS('Annotated Papers'!I:I, 'Annotated Papers'!A:A,A212)&gt;0,1,0))</f>
        <v>#NAME?</v>
      </c>
      <c r="H212">
        <f ca="1">IF(ISBLANK(A212), "", IF(SUMIFS('Annotated Papers'!L:L, 'Annotated Papers'!A:A,A212)&gt;0,1,0))</f>
        <v>0</v>
      </c>
    </row>
    <row r="213" spans="1:8" ht="14">
      <c r="A213" s="25" t="str">
        <f ca="1">IFERROR(__xludf.DUMMYFUNCTION("""COMPUTED_VALUE"""),"DeepPavlov: Open-Source Library for Dialogue Systems")</f>
        <v>DeepPavlov: Open-Source Library for Dialogue Systems</v>
      </c>
      <c r="B213" t="str">
        <f ca="1">IF(ISBLANK(A213), "", VLOOKUP(A213,'Annotated Papers'!212:1251,2,FALSE))</f>
        <v>NLP</v>
      </c>
      <c r="C213" s="24">
        <f ca="1">IF(ISBLANK(A213), "", VLOOKUP(A213,'Annotated Papers'!212:1251,5,FALSE))</f>
        <v>1</v>
      </c>
      <c r="D213">
        <f ca="1">IF(ISBLANK(A213), "", IF(COUNTIF('Annotated Papers'!A:A,A213)&gt;1,1,0))</f>
        <v>1</v>
      </c>
      <c r="E213">
        <f ca="1">IF(ISBLANK(A213), "", IF(SUMIFS('Annotated Papers'!G:G, 'Annotated Papers'!A:A,A213)&gt;0,1,0))</f>
        <v>0</v>
      </c>
      <c r="F213">
        <f ca="1">IF(ISBLANK(A213), "", IF(SUMIFS('Annotated Papers'!H:H, 'Annotated Papers'!A:A,A213)&gt;0,1,0))</f>
        <v>1</v>
      </c>
      <c r="G213" t="e">
        <f ca="1">IF(ISBLANK(A213), "", IF(SUMIFS('Annotated Papers'!I:I, 'Annotated Papers'!A:A,A213)&gt;0,1,0))</f>
        <v>#NAME?</v>
      </c>
      <c r="H213">
        <f ca="1">IF(ISBLANK(A213), "", IF(SUMIFS('Annotated Papers'!L:L, 'Annotated Papers'!A:A,A213)&gt;0,1,0))</f>
        <v>1</v>
      </c>
    </row>
    <row r="214" spans="1:8" ht="14">
      <c r="A214" s="26" t="str">
        <f ca="1">IFERROR(__xludf.DUMMYFUNCTION("""COMPUTED_VALUE"""),"Compare, Compress and Propagate: Enhancing Neural Architectures with Alignment Factorization for Natural Language Inference")</f>
        <v>Compare, Compress and Propagate: Enhancing Neural Architectures with Alignment Factorization for Natural Language Inference</v>
      </c>
      <c r="B214" t="str">
        <f ca="1">IF(ISBLANK(A214), "", VLOOKUP(A214,'Annotated Papers'!213:1252,2,FALSE))</f>
        <v>NLP</v>
      </c>
      <c r="C214" s="24">
        <f ca="1">IF(ISBLANK(A214), "", VLOOKUP(A214,'Annotated Papers'!213:1252,5,FALSE))</f>
        <v>0</v>
      </c>
      <c r="D214">
        <f ca="1">IF(ISBLANK(A214), "", IF(COUNTIF('Annotated Papers'!A:A,A214)&gt;1,1,0))</f>
        <v>1</v>
      </c>
      <c r="E214">
        <f ca="1">IF(ISBLANK(A214), "", IF(SUMIFS('Annotated Papers'!G:G, 'Annotated Papers'!A:A,A214)&gt;0,1,0))</f>
        <v>0</v>
      </c>
      <c r="F214">
        <f ca="1">IF(ISBLANK(A214), "", IF(SUMIFS('Annotated Papers'!H:H, 'Annotated Papers'!A:A,A214)&gt;0,1,0))</f>
        <v>1</v>
      </c>
      <c r="G214" t="e">
        <f ca="1">IF(ISBLANK(A214), "", IF(SUMIFS('Annotated Papers'!I:I, 'Annotated Papers'!A:A,A214)&gt;0,1,0))</f>
        <v>#NAME?</v>
      </c>
      <c r="H214">
        <f ca="1">IF(ISBLANK(A214), "", IF(SUMIFS('Annotated Papers'!L:L, 'Annotated Papers'!A:A,A214)&gt;0,1,0))</f>
        <v>0</v>
      </c>
    </row>
    <row r="215" spans="1:8" ht="14">
      <c r="A215" s="26" t="str">
        <f ca="1">IFERROR(__xludf.DUMMYFUNCTION("""COMPUTED_VALUE"""),"Semantic Linking in Convolutional Neural Networks for Answer Sentence Selection")</f>
        <v>Semantic Linking in Convolutional Neural Networks for Answer Sentence Selection</v>
      </c>
      <c r="B215" t="str">
        <f ca="1">IF(ISBLANK(A215), "", VLOOKUP(A215,'Annotated Papers'!214:1253,2,FALSE))</f>
        <v>NLP</v>
      </c>
      <c r="C215" s="24">
        <f ca="1">IF(ISBLANK(A215), "", VLOOKUP(A215,'Annotated Papers'!214:1253,5,FALSE))</f>
        <v>0</v>
      </c>
      <c r="D215">
        <f ca="1">IF(ISBLANK(A215), "", IF(COUNTIF('Annotated Papers'!A:A,A215)&gt;1,1,0))</f>
        <v>1</v>
      </c>
      <c r="E215">
        <f ca="1">IF(ISBLANK(A215), "", IF(SUMIFS('Annotated Papers'!G:G, 'Annotated Papers'!A:A,A215)&gt;0,1,0))</f>
        <v>0</v>
      </c>
      <c r="F215">
        <f ca="1">IF(ISBLANK(A215), "", IF(SUMIFS('Annotated Papers'!H:H, 'Annotated Papers'!A:A,A215)&gt;0,1,0))</f>
        <v>1</v>
      </c>
      <c r="G215" t="e">
        <f ca="1">IF(ISBLANK(A215), "", IF(SUMIFS('Annotated Papers'!I:I, 'Annotated Papers'!A:A,A215)&gt;0,1,0))</f>
        <v>#NAME?</v>
      </c>
      <c r="H215">
        <f ca="1">IF(ISBLANK(A215), "", IF(SUMIFS('Annotated Papers'!L:L, 'Annotated Papers'!A:A,A215)&gt;0,1,0))</f>
        <v>1</v>
      </c>
    </row>
    <row r="216" spans="1:8" ht="14">
      <c r="A216" s="26" t="str">
        <f ca="1">IFERROR(__xludf.DUMMYFUNCTION("""COMPUTED_VALUE"""),"A Neural Local Coherence Model for Text Quality Assessment")</f>
        <v>A Neural Local Coherence Model for Text Quality Assessment</v>
      </c>
      <c r="B216" t="str">
        <f ca="1">IF(ISBLANK(A216), "", VLOOKUP(A216,'Annotated Papers'!215:1254,2,FALSE))</f>
        <v>NLP</v>
      </c>
      <c r="C216" s="24">
        <f ca="1">IF(ISBLANK(A216), "", VLOOKUP(A216,'Annotated Papers'!215:1254,5,FALSE))</f>
        <v>0</v>
      </c>
      <c r="D216">
        <f ca="1">IF(ISBLANK(A216), "", IF(COUNTIF('Annotated Papers'!A:A,A216)&gt;1,1,0))</f>
        <v>1</v>
      </c>
      <c r="E216">
        <f ca="1">IF(ISBLANK(A216), "", IF(SUMIFS('Annotated Papers'!G:G, 'Annotated Papers'!A:A,A216)&gt;0,1,0))</f>
        <v>0</v>
      </c>
      <c r="F216">
        <f ca="1">IF(ISBLANK(A216), "", IF(SUMIFS('Annotated Papers'!H:H, 'Annotated Papers'!A:A,A216)&gt;0,1,0))</f>
        <v>1</v>
      </c>
      <c r="G216" t="e">
        <f ca="1">IF(ISBLANK(A216), "", IF(SUMIFS('Annotated Papers'!I:I, 'Annotated Papers'!A:A,A216)&gt;0,1,0))</f>
        <v>#NAME?</v>
      </c>
      <c r="H216">
        <f ca="1">IF(ISBLANK(A216), "", IF(SUMIFS('Annotated Papers'!L:L, 'Annotated Papers'!A:A,A216)&gt;0,1,0))</f>
        <v>1</v>
      </c>
    </row>
    <row r="217" spans="1:8" ht="14">
      <c r="A217" s="26" t="str">
        <f ca="1">IFERROR(__xludf.DUMMYFUNCTION("""COMPUTED_VALUE"""),"Improving Character-based Decoding Using Target-Side Morphological Information for Neural Machine Translation")</f>
        <v>Improving Character-based Decoding Using Target-Side Morphological Information for Neural Machine Translation</v>
      </c>
      <c r="B217" t="str">
        <f ca="1">IF(ISBLANK(A217), "", VLOOKUP(A217,'Annotated Papers'!216:1255,2,FALSE))</f>
        <v>NLP</v>
      </c>
      <c r="C217" s="24">
        <f ca="1">IF(ISBLANK(A217), "", VLOOKUP(A217,'Annotated Papers'!216:1255,5,FALSE))</f>
        <v>0</v>
      </c>
      <c r="D217">
        <f ca="1">IF(ISBLANK(A217), "", IF(COUNTIF('Annotated Papers'!A:A,A217)&gt;1,1,0))</f>
        <v>1</v>
      </c>
      <c r="E217">
        <f ca="1">IF(ISBLANK(A217), "", IF(SUMIFS('Annotated Papers'!G:G, 'Annotated Papers'!A:A,A217)&gt;0,1,0))</f>
        <v>0</v>
      </c>
      <c r="F217">
        <f ca="1">IF(ISBLANK(A217), "", IF(SUMIFS('Annotated Papers'!H:H, 'Annotated Papers'!A:A,A217)&gt;0,1,0))</f>
        <v>1</v>
      </c>
      <c r="G217" t="e">
        <f ca="1">IF(ISBLANK(A217), "", IF(SUMIFS('Annotated Papers'!I:I, 'Annotated Papers'!A:A,A217)&gt;0,1,0))</f>
        <v>#NAME?</v>
      </c>
      <c r="H217">
        <f ca="1">IF(ISBLANK(A217), "", IF(SUMIFS('Annotated Papers'!L:L, 'Annotated Papers'!A:A,A217)&gt;0,1,0))</f>
        <v>0</v>
      </c>
    </row>
    <row r="218" spans="1:8" ht="14">
      <c r="A218" s="26" t="str">
        <f ca="1">IFERROR(__xludf.DUMMYFUNCTION("""COMPUTED_VALUE"""),"Parsing Speech: A Neural Approach to Integrating Lexical and Acoustic-Prosodic Information")</f>
        <v>Parsing Speech: A Neural Approach to Integrating Lexical and Acoustic-Prosodic Information</v>
      </c>
      <c r="B218" t="str">
        <f ca="1">IF(ISBLANK(A218), "", VLOOKUP(A218,'Annotated Papers'!217:1256,2,FALSE))</f>
        <v>NLP</v>
      </c>
      <c r="C218" s="24">
        <f ca="1">IF(ISBLANK(A218), "", VLOOKUP(A218,'Annotated Papers'!217:1256,5,FALSE))</f>
        <v>1</v>
      </c>
      <c r="D218">
        <f ca="1">IF(ISBLANK(A218), "", IF(COUNTIF('Annotated Papers'!A:A,A218)&gt;1,1,0))</f>
        <v>1</v>
      </c>
      <c r="E218">
        <f ca="1">IF(ISBLANK(A218), "", IF(SUMIFS('Annotated Papers'!G:G, 'Annotated Papers'!A:A,A218)&gt;0,1,0))</f>
        <v>0</v>
      </c>
      <c r="F218">
        <f ca="1">IF(ISBLANK(A218), "", IF(SUMIFS('Annotated Papers'!H:H, 'Annotated Papers'!A:A,A218)&gt;0,1,0))</f>
        <v>1</v>
      </c>
      <c r="G218" t="e">
        <f ca="1">IF(ISBLANK(A218), "", IF(SUMIFS('Annotated Papers'!I:I, 'Annotated Papers'!A:A,A218)&gt;0,1,0))</f>
        <v>#NAME?</v>
      </c>
      <c r="H218">
        <f ca="1">IF(ISBLANK(A218), "", IF(SUMIFS('Annotated Papers'!L:L, 'Annotated Papers'!A:A,A218)&gt;0,1,0))</f>
        <v>1</v>
      </c>
    </row>
    <row r="219" spans="1:8" ht="14">
      <c r="A219" s="26" t="str">
        <f ca="1">IFERROR(__xludf.DUMMYFUNCTION("""COMPUTED_VALUE"""),"Tied Multitask Learning for Neural Speech Translation")</f>
        <v>Tied Multitask Learning for Neural Speech Translation</v>
      </c>
      <c r="B219" t="str">
        <f ca="1">IF(ISBLANK(A219), "", VLOOKUP(A219,'Annotated Papers'!218:1257,2,FALSE))</f>
        <v>NLP</v>
      </c>
      <c r="C219" s="24">
        <f ca="1">IF(ISBLANK(A219), "", VLOOKUP(A219,'Annotated Papers'!218:1257,5,FALSE))</f>
        <v>1</v>
      </c>
      <c r="D219">
        <f ca="1">IF(ISBLANK(A219), "", IF(COUNTIF('Annotated Papers'!A:A,A219)&gt;1,1,0))</f>
        <v>1</v>
      </c>
      <c r="E219">
        <f ca="1">IF(ISBLANK(A219), "", IF(SUMIFS('Annotated Papers'!G:G, 'Annotated Papers'!A:A,A219)&gt;0,1,0))</f>
        <v>0</v>
      </c>
      <c r="F219">
        <f ca="1">IF(ISBLANK(A219), "", IF(SUMIFS('Annotated Papers'!H:H, 'Annotated Papers'!A:A,A219)&gt;0,1,0))</f>
        <v>1</v>
      </c>
      <c r="G219" t="e">
        <f ca="1">IF(ISBLANK(A219), "", IF(SUMIFS('Annotated Papers'!I:I, 'Annotated Papers'!A:A,A219)&gt;0,1,0))</f>
        <v>#NAME?</v>
      </c>
      <c r="H219">
        <f ca="1">IF(ISBLANK(A219), "", IF(SUMIFS('Annotated Papers'!L:L, 'Annotated Papers'!A:A,A219)&gt;0,1,0))</f>
        <v>0</v>
      </c>
    </row>
    <row r="220" spans="1:8" ht="14">
      <c r="A220" s="26" t="str">
        <f ca="1">IFERROR(__xludf.DUMMYFUNCTION("""COMPUTED_VALUE"""),"Neural Transductive Learning and Beyond: Morphological Generation in the Minimal-Resource Setting")</f>
        <v>Neural Transductive Learning and Beyond: Morphological Generation in the Minimal-Resource Setting</v>
      </c>
      <c r="B220" t="str">
        <f ca="1">IF(ISBLANK(A220), "", VLOOKUP(A220,'Annotated Papers'!219:1258,2,FALSE))</f>
        <v>NLP</v>
      </c>
      <c r="C220" s="24">
        <f ca="1">IF(ISBLANK(A220), "", VLOOKUP(A220,'Annotated Papers'!219:1258,5,FALSE))</f>
        <v>0</v>
      </c>
      <c r="D220">
        <f ca="1">IF(ISBLANK(A220), "", IF(COUNTIF('Annotated Papers'!A:A,A220)&gt;1,1,0))</f>
        <v>0</v>
      </c>
      <c r="E220">
        <f ca="1">IF(ISBLANK(A220), "", IF(SUMIFS('Annotated Papers'!G:G, 'Annotated Papers'!A:A,A220)&gt;0,1,0))</f>
        <v>0</v>
      </c>
      <c r="F220">
        <f ca="1">IF(ISBLANK(A220), "", IF(SUMIFS('Annotated Papers'!H:H, 'Annotated Papers'!A:A,A220)&gt;0,1,0))</f>
        <v>1</v>
      </c>
      <c r="G220" t="e">
        <f ca="1">IF(ISBLANK(A220), "", IF(SUMIFS('Annotated Papers'!I:I, 'Annotated Papers'!A:A,A220)&gt;0,1,0))</f>
        <v>#NAME?</v>
      </c>
      <c r="H220">
        <f ca="1">IF(ISBLANK(A220), "", IF(SUMIFS('Annotated Papers'!L:L, 'Annotated Papers'!A:A,A220)&gt;0,1,0))</f>
        <v>0</v>
      </c>
    </row>
    <row r="221" spans="1:8" ht="14">
      <c r="A221" s="26" t="str">
        <f ca="1">IFERROR(__xludf.DUMMYFUNCTION("""COMPUTED_VALUE"""),"Automatic Essay Scoring Incorporating Rating Schema via Reinforcement Learning")</f>
        <v>Automatic Essay Scoring Incorporating Rating Schema via Reinforcement Learning</v>
      </c>
      <c r="B221" t="str">
        <f ca="1">IF(ISBLANK(A221), "", VLOOKUP(A221,'Annotated Papers'!220:1259,2,FALSE))</f>
        <v>NLP</v>
      </c>
      <c r="C221" s="24">
        <f ca="1">IF(ISBLANK(A221), "", VLOOKUP(A221,'Annotated Papers'!220:1259,5,FALSE))</f>
        <v>0</v>
      </c>
      <c r="D221">
        <f ca="1">IF(ISBLANK(A221), "", IF(COUNTIF('Annotated Papers'!A:A,A221)&gt;1,1,0))</f>
        <v>0</v>
      </c>
      <c r="E221">
        <f ca="1">IF(ISBLANK(A221), "", IF(SUMIFS('Annotated Papers'!G:G, 'Annotated Papers'!A:A,A221)&gt;0,1,0))</f>
        <v>0</v>
      </c>
      <c r="F221">
        <f ca="1">IF(ISBLANK(A221), "", IF(SUMIFS('Annotated Papers'!H:H, 'Annotated Papers'!A:A,A221)&gt;0,1,0))</f>
        <v>1</v>
      </c>
      <c r="G221" t="e">
        <f ca="1">IF(ISBLANK(A221), "", IF(SUMIFS('Annotated Papers'!I:I, 'Annotated Papers'!A:A,A221)&gt;0,1,0))</f>
        <v>#NAME?</v>
      </c>
      <c r="H221">
        <f ca="1">IF(ISBLANK(A221), "", IF(SUMIFS('Annotated Papers'!L:L, 'Annotated Papers'!A:A,A221)&gt;0,1,0))</f>
        <v>0</v>
      </c>
    </row>
    <row r="222" spans="1:8" ht="14">
      <c r="A222" s="26" t="str">
        <f ca="1">IFERROR(__xludf.DUMMYFUNCTION("""COMPUTED_VALUE"""),"Classifying Referential and Non-referential It Using Gaze")</f>
        <v>Classifying Referential and Non-referential It Using Gaze</v>
      </c>
      <c r="B222" t="str">
        <f ca="1">IF(ISBLANK(A222), "", VLOOKUP(A222,'Annotated Papers'!221:1260,2,FALSE))</f>
        <v>NLP</v>
      </c>
      <c r="C222" s="24">
        <f ca="1">IF(ISBLANK(A222), "", VLOOKUP(A222,'Annotated Papers'!221:1260,5,FALSE))</f>
        <v>1</v>
      </c>
      <c r="D222">
        <f ca="1">IF(ISBLANK(A222), "", IF(COUNTIF('Annotated Papers'!A:A,A222)&gt;1,1,0))</f>
        <v>0</v>
      </c>
      <c r="E222">
        <f ca="1">IF(ISBLANK(A222), "", IF(SUMIFS('Annotated Papers'!G:G, 'Annotated Papers'!A:A,A222)&gt;0,1,0))</f>
        <v>0</v>
      </c>
      <c r="F222">
        <f ca="1">IF(ISBLANK(A222), "", IF(SUMIFS('Annotated Papers'!H:H, 'Annotated Papers'!A:A,A222)&gt;0,1,0))</f>
        <v>1</v>
      </c>
      <c r="G222" t="e">
        <f ca="1">IF(ISBLANK(A222), "", IF(SUMIFS('Annotated Papers'!I:I, 'Annotated Papers'!A:A,A222)&gt;0,1,0))</f>
        <v>#NAME?</v>
      </c>
      <c r="H222">
        <f ca="1">IF(ISBLANK(A222), "", IF(SUMIFS('Annotated Papers'!L:L, 'Annotated Papers'!A:A,A222)&gt;0,1,0))</f>
        <v>0</v>
      </c>
    </row>
    <row r="223" spans="1:8" ht="14">
      <c r="A223" s="26" t="str">
        <f ca="1">IFERROR(__xludf.DUMMYFUNCTION("""COMPUTED_VALUE"""),"Trick Me If You Can: Adversarial Writing of Trivia Challenge Questions")</f>
        <v>Trick Me If You Can: Adversarial Writing of Trivia Challenge Questions</v>
      </c>
      <c r="B223" t="str">
        <f ca="1">IF(ISBLANK(A223), "", VLOOKUP(A223,'Annotated Papers'!222:1261,2,FALSE))</f>
        <v>NLP</v>
      </c>
      <c r="C223" s="24">
        <f ca="1">IF(ISBLANK(A223), "", VLOOKUP(A223,'Annotated Papers'!222:1261,5,FALSE))</f>
        <v>0</v>
      </c>
      <c r="D223">
        <f ca="1">IF(ISBLANK(A223), "", IF(COUNTIF('Annotated Papers'!A:A,A223)&gt;1,1,0))</f>
        <v>1</v>
      </c>
      <c r="E223">
        <f ca="1">IF(ISBLANK(A223), "", IF(SUMIFS('Annotated Papers'!G:G, 'Annotated Papers'!A:A,A223)&gt;0,1,0))</f>
        <v>0</v>
      </c>
      <c r="F223">
        <f ca="1">IF(ISBLANK(A223), "", IF(SUMIFS('Annotated Papers'!H:H, 'Annotated Papers'!A:A,A223)&gt;0,1,0))</f>
        <v>1</v>
      </c>
      <c r="G223" t="e">
        <f ca="1">IF(ISBLANK(A223), "", IF(SUMIFS('Annotated Papers'!I:I, 'Annotated Papers'!A:A,A223)&gt;0,1,0))</f>
        <v>#NAME?</v>
      </c>
      <c r="H223">
        <f ca="1">IF(ISBLANK(A223), "", IF(SUMIFS('Annotated Papers'!L:L, 'Annotated Papers'!A:A,A223)&gt;0,1,0))</f>
        <v>0</v>
      </c>
    </row>
    <row r="224" spans="1:8" ht="14">
      <c r="A224" s="26" t="str">
        <f ca="1">IFERROR(__xludf.DUMMYFUNCTION("""COMPUTED_VALUE"""),"Reinforced Extractive Summarization with Question-Focused Rewards")</f>
        <v>Reinforced Extractive Summarization with Question-Focused Rewards</v>
      </c>
      <c r="B224" t="str">
        <f ca="1">IF(ISBLANK(A224), "", VLOOKUP(A224,'Annotated Papers'!223:1262,2,FALSE))</f>
        <v>NLP</v>
      </c>
      <c r="C224" s="24">
        <f ca="1">IF(ISBLANK(A224), "", VLOOKUP(A224,'Annotated Papers'!223:1262,5,FALSE))</f>
        <v>0</v>
      </c>
      <c r="D224">
        <f ca="1">IF(ISBLANK(A224), "", IF(COUNTIF('Annotated Papers'!A:A,A224)&gt;1,1,0))</f>
        <v>0</v>
      </c>
      <c r="E224">
        <f ca="1">IF(ISBLANK(A224), "", IF(SUMIFS('Annotated Papers'!G:G, 'Annotated Papers'!A:A,A224)&gt;0,1,0))</f>
        <v>0</v>
      </c>
      <c r="F224">
        <f ca="1">IF(ISBLANK(A224), "", IF(SUMIFS('Annotated Papers'!H:H, 'Annotated Papers'!A:A,A224)&gt;0,1,0))</f>
        <v>1</v>
      </c>
      <c r="G224" t="e">
        <f ca="1">IF(ISBLANK(A224), "", IF(SUMIFS('Annotated Papers'!I:I, 'Annotated Papers'!A:A,A224)&gt;0,1,0))</f>
        <v>#NAME?</v>
      </c>
      <c r="H224">
        <f ca="1">IF(ISBLANK(A224), "", IF(SUMIFS('Annotated Papers'!L:L, 'Annotated Papers'!A:A,A224)&gt;0,1,0))</f>
        <v>0</v>
      </c>
    </row>
    <row r="225" spans="1:8" ht="14">
      <c r="A225" s="26" t="str">
        <f ca="1">IFERROR(__xludf.DUMMYFUNCTION("""COMPUTED_VALUE"""),"End-to-End Reinforcement Learning for Automatic Taxonomy Induction")</f>
        <v>End-to-End Reinforcement Learning for Automatic Taxonomy Induction</v>
      </c>
      <c r="B225" t="str">
        <f ca="1">IF(ISBLANK(A225), "", VLOOKUP(A225,'Annotated Papers'!224:1263,2,FALSE))</f>
        <v>NLP</v>
      </c>
      <c r="C225" s="24">
        <f ca="1">IF(ISBLANK(A225), "", VLOOKUP(A225,'Annotated Papers'!224:1263,5,FALSE))</f>
        <v>1</v>
      </c>
      <c r="D225">
        <f ca="1">IF(ISBLANK(A225), "", IF(COUNTIF('Annotated Papers'!A:A,A225)&gt;1,1,0))</f>
        <v>1</v>
      </c>
      <c r="E225">
        <f ca="1">IF(ISBLANK(A225), "", IF(SUMIFS('Annotated Papers'!G:G, 'Annotated Papers'!A:A,A225)&gt;0,1,0))</f>
        <v>0</v>
      </c>
      <c r="F225">
        <f ca="1">IF(ISBLANK(A225), "", IF(SUMIFS('Annotated Papers'!H:H, 'Annotated Papers'!A:A,A225)&gt;0,1,0))</f>
        <v>1</v>
      </c>
      <c r="G225" t="e">
        <f ca="1">IF(ISBLANK(A225), "", IF(SUMIFS('Annotated Papers'!I:I, 'Annotated Papers'!A:A,A225)&gt;0,1,0))</f>
        <v>#NAME?</v>
      </c>
      <c r="H225">
        <f ca="1">IF(ISBLANK(A225), "", IF(SUMIFS('Annotated Papers'!L:L, 'Annotated Papers'!A:A,A225)&gt;0,1,0))</f>
        <v>0</v>
      </c>
    </row>
    <row r="226" spans="1:8" ht="14">
      <c r="A226" s="26" t="str">
        <f ca="1">IFERROR(__xludf.DUMMYFUNCTION("""COMPUTED_VALUE"""),"A Genre-Aware Attention Model to Improve the Likability Prediction of Books")</f>
        <v>A Genre-Aware Attention Model to Improve the Likability Prediction of Books</v>
      </c>
      <c r="B226" t="str">
        <f ca="1">IF(ISBLANK(A226), "", VLOOKUP(A226,'Annotated Papers'!225:1264,2,FALSE))</f>
        <v>NLP</v>
      </c>
      <c r="C226" s="24">
        <f ca="1">IF(ISBLANK(A226), "", VLOOKUP(A226,'Annotated Papers'!225:1264,5,FALSE))</f>
        <v>1</v>
      </c>
      <c r="D226">
        <f ca="1">IF(ISBLANK(A226), "", IF(COUNTIF('Annotated Papers'!A:A,A226)&gt;1,1,0))</f>
        <v>1</v>
      </c>
      <c r="E226">
        <f ca="1">IF(ISBLANK(A226), "", IF(SUMIFS('Annotated Papers'!G:G, 'Annotated Papers'!A:A,A226)&gt;0,1,0))</f>
        <v>0</v>
      </c>
      <c r="F226">
        <f ca="1">IF(ISBLANK(A226), "", IF(SUMIFS('Annotated Papers'!H:H, 'Annotated Papers'!A:A,A226)&gt;0,1,0))</f>
        <v>1</v>
      </c>
      <c r="G226" t="e">
        <f ca="1">IF(ISBLANK(A226), "", IF(SUMIFS('Annotated Papers'!I:I, 'Annotated Papers'!A:A,A226)&gt;0,1,0))</f>
        <v>#NAME?</v>
      </c>
      <c r="H226">
        <f ca="1">IF(ISBLANK(A226), "", IF(SUMIFS('Annotated Papers'!L:L, 'Annotated Papers'!A:A,A226)&gt;0,1,0))</f>
        <v>0</v>
      </c>
    </row>
    <row r="227" spans="1:8" ht="14">
      <c r="A227" s="26" t="str">
        <f ca="1">IFERROR(__xludf.DUMMYFUNCTION("""COMPUTED_VALUE"""),"Rapid Adaptation of Neural Machine Translation to New Languages")</f>
        <v>Rapid Adaptation of Neural Machine Translation to New Languages</v>
      </c>
      <c r="B227" t="str">
        <f ca="1">IF(ISBLANK(A227), "", VLOOKUP(A227,'Annotated Papers'!226:1265,2,FALSE))</f>
        <v>NLP</v>
      </c>
      <c r="C227" s="24">
        <f ca="1">IF(ISBLANK(A227), "", VLOOKUP(A227,'Annotated Papers'!226:1265,5,FALSE))</f>
        <v>1</v>
      </c>
      <c r="D227">
        <f ca="1">IF(ISBLANK(A227), "", IF(COUNTIF('Annotated Papers'!A:A,A227)&gt;1,1,0))</f>
        <v>0</v>
      </c>
      <c r="E227">
        <f ca="1">IF(ISBLANK(A227), "", IF(SUMIFS('Annotated Papers'!G:G, 'Annotated Papers'!A:A,A227)&gt;0,1,0))</f>
        <v>0</v>
      </c>
      <c r="F227">
        <f ca="1">IF(ISBLANK(A227), "", IF(SUMIFS('Annotated Papers'!H:H, 'Annotated Papers'!A:A,A227)&gt;0,1,0))</f>
        <v>1</v>
      </c>
      <c r="G227" t="e">
        <f ca="1">IF(ISBLANK(A227), "", IF(SUMIFS('Annotated Papers'!I:I, 'Annotated Papers'!A:A,A227)&gt;0,1,0))</f>
        <v>#NAME?</v>
      </c>
      <c r="H227">
        <f ca="1">IF(ISBLANK(A227), "", IF(SUMIFS('Annotated Papers'!L:L, 'Annotated Papers'!A:A,A227)&gt;0,1,0))</f>
        <v>0</v>
      </c>
    </row>
    <row r="228" spans="1:8" ht="14">
      <c r="A228" s="26" t="str">
        <f ca="1">IFERROR(__xludf.DUMMYFUNCTION("""COMPUTED_VALUE"""),"Large-scale Exploration of Neural Relation Classification Architectures")</f>
        <v>Large-scale Exploration of Neural Relation Classification Architectures</v>
      </c>
      <c r="B228" t="str">
        <f ca="1">IF(ISBLANK(A228), "", VLOOKUP(A228,'Annotated Papers'!227:1266,2,FALSE))</f>
        <v>NLP</v>
      </c>
      <c r="C228" s="24">
        <f ca="1">IF(ISBLANK(A228), "", VLOOKUP(A228,'Annotated Papers'!227:1266,5,FALSE))</f>
        <v>1</v>
      </c>
      <c r="D228">
        <f ca="1">IF(ISBLANK(A228), "", IF(COUNTIF('Annotated Papers'!A:A,A228)&gt;1,1,0))</f>
        <v>1</v>
      </c>
      <c r="E228">
        <f ca="1">IF(ISBLANK(A228), "", IF(SUMIFS('Annotated Papers'!G:G, 'Annotated Papers'!A:A,A228)&gt;0,1,0))</f>
        <v>0</v>
      </c>
      <c r="F228">
        <f ca="1">IF(ISBLANK(A228), "", IF(SUMIFS('Annotated Papers'!H:H, 'Annotated Papers'!A:A,A228)&gt;0,1,0))</f>
        <v>1</v>
      </c>
      <c r="G228" t="e">
        <f ca="1">IF(ISBLANK(A228), "", IF(SUMIFS('Annotated Papers'!I:I, 'Annotated Papers'!A:A,A228)&gt;0,1,0))</f>
        <v>#NAME?</v>
      </c>
      <c r="H228">
        <f ca="1">IF(ISBLANK(A228), "", IF(SUMIFS('Annotated Papers'!L:L, 'Annotated Papers'!A:A,A228)&gt;0,1,0))</f>
        <v>1</v>
      </c>
    </row>
    <row r="229" spans="1:8" ht="14">
      <c r="A229" s="26" t="str">
        <f ca="1">IFERROR(__xludf.DUMMYFUNCTION("""COMPUTED_VALUE"""),"Stochastic Answer Networks for Machine Reading Comprehension")</f>
        <v>Stochastic Answer Networks for Machine Reading Comprehension</v>
      </c>
      <c r="B229" t="str">
        <f ca="1">IF(ISBLANK(A229), "", VLOOKUP(A229,'Annotated Papers'!228:1267,2,FALSE))</f>
        <v>NLP</v>
      </c>
      <c r="C229" s="24">
        <f ca="1">IF(ISBLANK(A229), "", VLOOKUP(A229,'Annotated Papers'!228:1267,5,FALSE))</f>
        <v>0</v>
      </c>
      <c r="D229">
        <f ca="1">IF(ISBLANK(A229), "", IF(COUNTIF('Annotated Papers'!A:A,A229)&gt;1,1,0))</f>
        <v>1</v>
      </c>
      <c r="E229">
        <f ca="1">IF(ISBLANK(A229), "", IF(SUMIFS('Annotated Papers'!G:G, 'Annotated Papers'!A:A,A229)&gt;0,1,0))</f>
        <v>0</v>
      </c>
      <c r="F229">
        <f ca="1">IF(ISBLANK(A229), "", IF(SUMIFS('Annotated Papers'!H:H, 'Annotated Papers'!A:A,A229)&gt;0,1,0))</f>
        <v>1</v>
      </c>
      <c r="G229" t="e">
        <f ca="1">IF(ISBLANK(A229), "", IF(SUMIFS('Annotated Papers'!I:I, 'Annotated Papers'!A:A,A229)&gt;0,1,0))</f>
        <v>#NAME?</v>
      </c>
      <c r="H229">
        <f ca="1">IF(ISBLANK(A229), "", IF(SUMIFS('Annotated Papers'!L:L, 'Annotated Papers'!A:A,A229)&gt;0,1,0))</f>
        <v>0</v>
      </c>
    </row>
    <row r="230" spans="1:8" ht="14">
      <c r="A230" s="26" t="str">
        <f ca="1">IFERROR(__xludf.DUMMYFUNCTION("""COMPUTED_VALUE"""),"Sense-Aware Neural Models for Pun Location in Texts")</f>
        <v>Sense-Aware Neural Models for Pun Location in Texts</v>
      </c>
      <c r="B230" t="str">
        <f ca="1">IF(ISBLANK(A230), "", VLOOKUP(A230,'Annotated Papers'!229:1268,2,FALSE))</f>
        <v>NLP</v>
      </c>
      <c r="C230" s="24">
        <f ca="1">IF(ISBLANK(A230), "", VLOOKUP(A230,'Annotated Papers'!229:1268,5,FALSE))</f>
        <v>0</v>
      </c>
      <c r="D230">
        <f ca="1">IF(ISBLANK(A230), "", IF(COUNTIF('Annotated Papers'!A:A,A230)&gt;1,1,0))</f>
        <v>0</v>
      </c>
      <c r="E230">
        <f ca="1">IF(ISBLANK(A230), "", IF(SUMIFS('Annotated Papers'!G:G, 'Annotated Papers'!A:A,A230)&gt;0,1,0))</f>
        <v>0</v>
      </c>
      <c r="F230">
        <f ca="1">IF(ISBLANK(A230), "", IF(SUMIFS('Annotated Papers'!H:H, 'Annotated Papers'!A:A,A230)&gt;0,1,0))</f>
        <v>1</v>
      </c>
      <c r="G230" t="e">
        <f ca="1">IF(ISBLANK(A230), "", IF(SUMIFS('Annotated Papers'!I:I, 'Annotated Papers'!A:A,A230)&gt;0,1,0))</f>
        <v>#NAME?</v>
      </c>
      <c r="H230">
        <f ca="1">IF(ISBLANK(A230), "", IF(SUMIFS('Annotated Papers'!L:L, 'Annotated Papers'!A:A,A230)&gt;0,1,0))</f>
        <v>0</v>
      </c>
    </row>
    <row r="231" spans="1:8" ht="14">
      <c r="A231" s="26" t="str">
        <f ca="1">IFERROR(__xludf.DUMMYFUNCTION("""COMPUTED_VALUE"""),"Exemplar Encoder-Decoder for Neural Conversation Generation")</f>
        <v>Exemplar Encoder-Decoder for Neural Conversation Generation</v>
      </c>
      <c r="B231" t="str">
        <f ca="1">IF(ISBLANK(A231), "", VLOOKUP(A231,'Annotated Papers'!230:1269,2,FALSE))</f>
        <v>NLP</v>
      </c>
      <c r="C231" s="24">
        <f ca="1">IF(ISBLANK(A231), "", VLOOKUP(A231,'Annotated Papers'!230:1269,5,FALSE))</f>
        <v>1</v>
      </c>
      <c r="D231">
        <f ca="1">IF(ISBLANK(A231), "", IF(COUNTIF('Annotated Papers'!A:A,A231)&gt;1,1,0))</f>
        <v>1</v>
      </c>
      <c r="E231">
        <f ca="1">IF(ISBLANK(A231), "", IF(SUMIFS('Annotated Papers'!G:G, 'Annotated Papers'!A:A,A231)&gt;0,1,0))</f>
        <v>0</v>
      </c>
      <c r="F231">
        <f ca="1">IF(ISBLANK(A231), "", IF(SUMIFS('Annotated Papers'!H:H, 'Annotated Papers'!A:A,A231)&gt;0,1,0))</f>
        <v>1</v>
      </c>
      <c r="G231" t="e">
        <f ca="1">IF(ISBLANK(A231), "", IF(SUMIFS('Annotated Papers'!I:I, 'Annotated Papers'!A:A,A231)&gt;0,1,0))</f>
        <v>#NAME?</v>
      </c>
      <c r="H231">
        <f ca="1">IF(ISBLANK(A231), "", IF(SUMIFS('Annotated Papers'!L:L, 'Annotated Papers'!A:A,A231)&gt;0,1,0))</f>
        <v>0</v>
      </c>
    </row>
    <row r="232" spans="1:8" ht="14">
      <c r="A232" s="26" t="str">
        <f ca="1">IFERROR(__xludf.DUMMYFUNCTION("""COMPUTED_VALUE"""),"Please Clap: Modeling Applause in Campaign Speeches")</f>
        <v>Please Clap: Modeling Applause in Campaign Speeches</v>
      </c>
      <c r="B232" t="str">
        <f ca="1">IF(ISBLANK(A232), "", VLOOKUP(A232,'Annotated Papers'!231:1270,2,FALSE))</f>
        <v>NLP</v>
      </c>
      <c r="C232" s="24">
        <f ca="1">IF(ISBLANK(A232), "", VLOOKUP(A232,'Annotated Papers'!231:1270,5,FALSE))</f>
        <v>1</v>
      </c>
      <c r="D232">
        <f ca="1">IF(ISBLANK(A232), "", IF(COUNTIF('Annotated Papers'!A:A,A232)&gt;1,1,0))</f>
        <v>0</v>
      </c>
      <c r="E232">
        <f ca="1">IF(ISBLANK(A232), "", IF(SUMIFS('Annotated Papers'!G:G, 'Annotated Papers'!A:A,A232)&gt;0,1,0))</f>
        <v>0</v>
      </c>
      <c r="F232">
        <f ca="1">IF(ISBLANK(A232), "", IF(SUMIFS('Annotated Papers'!H:H, 'Annotated Papers'!A:A,A232)&gt;0,1,0))</f>
        <v>1</v>
      </c>
      <c r="G232" t="e">
        <f ca="1">IF(ISBLANK(A232), "", IF(SUMIFS('Annotated Papers'!I:I, 'Annotated Papers'!A:A,A232)&gt;0,1,0))</f>
        <v>#NAME?</v>
      </c>
      <c r="H232">
        <f ca="1">IF(ISBLANK(A232), "", IF(SUMIFS('Annotated Papers'!L:L, 'Annotated Papers'!A:A,A232)&gt;0,1,0))</f>
        <v>1</v>
      </c>
    </row>
    <row r="233" spans="1:8" ht="14">
      <c r="A233" s="26" t="str">
        <f ca="1">IFERROR(__xludf.DUMMYFUNCTION("""COMPUTED_VALUE"""),"Attentive Interaction Model: Modeling Changes in View in Argumentation")</f>
        <v>Attentive Interaction Model: Modeling Changes in View in Argumentation</v>
      </c>
      <c r="B233" t="str">
        <f ca="1">IF(ISBLANK(A233), "", VLOOKUP(A233,'Annotated Papers'!232:1271,2,FALSE))</f>
        <v>NLP</v>
      </c>
      <c r="C233" s="24">
        <f ca="1">IF(ISBLANK(A233), "", VLOOKUP(A233,'Annotated Papers'!232:1271,5,FALSE))</f>
        <v>1</v>
      </c>
      <c r="D233">
        <f ca="1">IF(ISBLANK(A233), "", IF(COUNTIF('Annotated Papers'!A:A,A233)&gt;1,1,0))</f>
        <v>0</v>
      </c>
      <c r="E233">
        <f ca="1">IF(ISBLANK(A233), "", IF(SUMIFS('Annotated Papers'!G:G, 'Annotated Papers'!A:A,A233)&gt;0,1,0))</f>
        <v>0</v>
      </c>
      <c r="F233">
        <f ca="1">IF(ISBLANK(A233), "", IF(SUMIFS('Annotated Papers'!H:H, 'Annotated Papers'!A:A,A233)&gt;0,1,0))</f>
        <v>1</v>
      </c>
      <c r="G233" t="e">
        <f ca="1">IF(ISBLANK(A233), "", IF(SUMIFS('Annotated Papers'!I:I, 'Annotated Papers'!A:A,A233)&gt;0,1,0))</f>
        <v>#NAME?</v>
      </c>
      <c r="H233">
        <f ca="1">IF(ISBLANK(A233), "", IF(SUMIFS('Annotated Papers'!L:L, 'Annotated Papers'!A:A,A233)&gt;0,1,0))</f>
        <v>0</v>
      </c>
    </row>
    <row r="234" spans="1:8" ht="14">
      <c r="A234" s="26" t="str">
        <f ca="1">IFERROR(__xludf.DUMMYFUNCTION("""COMPUTED_VALUE"""),"Automatic Focus Annotation: Bringing Formal Pragmatics Alive in
Analyzing the Information Structure of Authentic Data")</f>
        <v>Automatic Focus Annotation: Bringing Formal Pragmatics Alive in
Analyzing the Information Structure of Authentic Data</v>
      </c>
      <c r="B234" t="str">
        <f ca="1">IF(ISBLANK(A234), "", VLOOKUP(A234,'Annotated Papers'!233:1272,2,FALSE))</f>
        <v>NLP</v>
      </c>
      <c r="C234" s="24">
        <f ca="1">IF(ISBLANK(A234), "", VLOOKUP(A234,'Annotated Papers'!233:1272,5,FALSE))</f>
        <v>0</v>
      </c>
      <c r="D234">
        <f ca="1">IF(ISBLANK(A234), "", IF(COUNTIF('Annotated Papers'!A:A,A234)&gt;1,1,0))</f>
        <v>1</v>
      </c>
      <c r="E234">
        <f ca="1">IF(ISBLANK(A234), "", IF(SUMIFS('Annotated Papers'!G:G, 'Annotated Papers'!A:A,A234)&gt;0,1,0))</f>
        <v>0</v>
      </c>
      <c r="F234">
        <f ca="1">IF(ISBLANK(A234), "", IF(SUMIFS('Annotated Papers'!H:H, 'Annotated Papers'!A:A,A234)&gt;0,1,0))</f>
        <v>1</v>
      </c>
      <c r="G234" t="e">
        <f ca="1">IF(ISBLANK(A234), "", IF(SUMIFS('Annotated Papers'!I:I, 'Annotated Papers'!A:A,A234)&gt;0,1,0))</f>
        <v>#NAME?</v>
      </c>
      <c r="H234">
        <f ca="1">IF(ISBLANK(A234), "", IF(SUMIFS('Annotated Papers'!L:L, 'Annotated Papers'!A:A,A234)&gt;0,1,0))</f>
        <v>0</v>
      </c>
    </row>
    <row r="235" spans="1:8" ht="14">
      <c r="A235" s="26" t="str">
        <f ca="1">IFERROR(__xludf.DUMMYFUNCTION("""COMPUTED_VALUE"""),"Interactive Instance-based Evaluation of
Knowledge Base Question Answering")</f>
        <v>Interactive Instance-based Evaluation of
Knowledge Base Question Answering</v>
      </c>
      <c r="B235" t="str">
        <f ca="1">IF(ISBLANK(A235), "", VLOOKUP(A235,'Annotated Papers'!234:1273,2,FALSE))</f>
        <v>NLP</v>
      </c>
      <c r="C235" s="24">
        <f ca="1">IF(ISBLANK(A235), "", VLOOKUP(A235,'Annotated Papers'!234:1273,5,FALSE))</f>
        <v>1</v>
      </c>
      <c r="D235">
        <f ca="1">IF(ISBLANK(A235), "", IF(COUNTIF('Annotated Papers'!A:A,A235)&gt;1,1,0))</f>
        <v>0</v>
      </c>
      <c r="E235">
        <f ca="1">IF(ISBLANK(A235), "", IF(SUMIFS('Annotated Papers'!G:G, 'Annotated Papers'!A:A,A235)&gt;0,1,0))</f>
        <v>0</v>
      </c>
      <c r="F235">
        <f ca="1">IF(ISBLANK(A235), "", IF(SUMIFS('Annotated Papers'!H:H, 'Annotated Papers'!A:A,A235)&gt;0,1,0))</f>
        <v>1</v>
      </c>
      <c r="G235" t="e">
        <f ca="1">IF(ISBLANK(A235), "", IF(SUMIFS('Annotated Papers'!I:I, 'Annotated Papers'!A:A,A235)&gt;0,1,0))</f>
        <v>#NAME?</v>
      </c>
      <c r="H235">
        <f ca="1">IF(ISBLANK(A235), "", IF(SUMIFS('Annotated Papers'!L:L, 'Annotated Papers'!A:A,A235)&gt;0,1,0))</f>
        <v>0</v>
      </c>
    </row>
    <row r="236" spans="1:8" ht="14">
      <c r="A236" s="26" t="str">
        <f ca="1">IFERROR(__xludf.DUMMYFUNCTION("""COMPUTED_VALUE"""),"Logician and Orator: Learning from the Duality between Language and Knowledge in Open Domain")</f>
        <v>Logician and Orator: Learning from the Duality between Language and Knowledge in Open Domain</v>
      </c>
      <c r="B236" t="str">
        <f ca="1">IF(ISBLANK(A236), "", VLOOKUP(A236,'Annotated Papers'!235:1274,2,FALSE))</f>
        <v>NLP</v>
      </c>
      <c r="C236" s="24">
        <f ca="1">IF(ISBLANK(A236), "", VLOOKUP(A236,'Annotated Papers'!235:1274,5,FALSE))</f>
        <v>0</v>
      </c>
      <c r="D236">
        <f ca="1">IF(ISBLANK(A236), "", IF(COUNTIF('Annotated Papers'!A:A,A236)&gt;1,1,0))</f>
        <v>0</v>
      </c>
      <c r="E236">
        <f ca="1">IF(ISBLANK(A236), "", IF(SUMIFS('Annotated Papers'!G:G, 'Annotated Papers'!A:A,A236)&gt;0,1,0))</f>
        <v>0</v>
      </c>
      <c r="F236">
        <f ca="1">IF(ISBLANK(A236), "", IF(SUMIFS('Annotated Papers'!H:H, 'Annotated Papers'!A:A,A236)&gt;0,1,0))</f>
        <v>1</v>
      </c>
      <c r="G236" t="e">
        <f ca="1">IF(ISBLANK(A236), "", IF(SUMIFS('Annotated Papers'!I:I, 'Annotated Papers'!A:A,A236)&gt;0,1,0))</f>
        <v>#NAME?</v>
      </c>
      <c r="H236">
        <f ca="1">IF(ISBLANK(A236), "", IF(SUMIFS('Annotated Papers'!L:L, 'Annotated Papers'!A:A,A236)&gt;0,1,0))</f>
        <v>0</v>
      </c>
    </row>
    <row r="237" spans="1:8" ht="14">
      <c r="A237" s="26" t="str">
        <f ca="1">IFERROR(__xludf.DUMMYFUNCTION("""COMPUTED_VALUE"""),"A Probabilistic Annotation Model for Crowdsourcing Coreference")</f>
        <v>A Probabilistic Annotation Model for Crowdsourcing Coreference</v>
      </c>
      <c r="B237" t="str">
        <f ca="1">IF(ISBLANK(A237), "", VLOOKUP(A237,'Annotated Papers'!236:1275,2,FALSE))</f>
        <v>NLP</v>
      </c>
      <c r="C237" s="24">
        <f ca="1">IF(ISBLANK(A237), "", VLOOKUP(A237,'Annotated Papers'!236:1275,5,FALSE))</f>
        <v>0</v>
      </c>
      <c r="D237">
        <f ca="1">IF(ISBLANK(A237), "", IF(COUNTIF('Annotated Papers'!A:A,A237)&gt;1,1,0))</f>
        <v>1</v>
      </c>
      <c r="E237">
        <f ca="1">IF(ISBLANK(A237), "", IF(SUMIFS('Annotated Papers'!G:G, 'Annotated Papers'!A:A,A237)&gt;0,1,0))</f>
        <v>0</v>
      </c>
      <c r="F237">
        <f ca="1">IF(ISBLANK(A237), "", IF(SUMIFS('Annotated Papers'!H:H, 'Annotated Papers'!A:A,A237)&gt;0,1,0))</f>
        <v>1</v>
      </c>
      <c r="G237" t="e">
        <f ca="1">IF(ISBLANK(A237), "", IF(SUMIFS('Annotated Papers'!I:I, 'Annotated Papers'!A:A,A237)&gt;0,1,0))</f>
        <v>#NAME?</v>
      </c>
      <c r="H237">
        <f ca="1">IF(ISBLANK(A237), "", IF(SUMIFS('Annotated Papers'!L:L, 'Annotated Papers'!A:A,A237)&gt;0,1,0))</f>
        <v>1</v>
      </c>
    </row>
    <row r="238" spans="1:8" ht="14">
      <c r="A238" s="26" t="str">
        <f ca="1">IFERROR(__xludf.DUMMYFUNCTION("""COMPUTED_VALUE"""),"Platforms for Non-Speakers Annotating Names in Any Language")</f>
        <v>Platforms for Non-Speakers Annotating Names in Any Language</v>
      </c>
      <c r="B238" t="str">
        <f ca="1">IF(ISBLANK(A238), "", VLOOKUP(A238,'Annotated Papers'!237:1276,2,FALSE))</f>
        <v>NLP</v>
      </c>
      <c r="C238" s="24">
        <f ca="1">IF(ISBLANK(A238), "", VLOOKUP(A238,'Annotated Papers'!237:1276,5,FALSE))</f>
        <v>0</v>
      </c>
      <c r="D238">
        <f ca="1">IF(ISBLANK(A238), "", IF(COUNTIF('Annotated Papers'!A:A,A238)&gt;1,1,0))</f>
        <v>1</v>
      </c>
      <c r="E238">
        <f ca="1">IF(ISBLANK(A238), "", IF(SUMIFS('Annotated Papers'!G:G, 'Annotated Papers'!A:A,A238)&gt;0,1,0))</f>
        <v>0</v>
      </c>
      <c r="F238">
        <f ca="1">IF(ISBLANK(A238), "", IF(SUMIFS('Annotated Papers'!H:H, 'Annotated Papers'!A:A,A238)&gt;0,1,0))</f>
        <v>1</v>
      </c>
      <c r="G238" t="e">
        <f ca="1">IF(ISBLANK(A238), "", IF(SUMIFS('Annotated Papers'!I:I, 'Annotated Papers'!A:A,A238)&gt;0,1,0))</f>
        <v>#NAME?</v>
      </c>
      <c r="H238">
        <f ca="1">IF(ISBLANK(A238), "", IF(SUMIFS('Annotated Papers'!L:L, 'Annotated Papers'!A:A,A238)&gt;0,1,0))</f>
        <v>0</v>
      </c>
    </row>
    <row r="239" spans="1:8" ht="14">
      <c r="A239" s="26" t="str">
        <f ca="1">IFERROR(__xludf.DUMMYFUNCTION("""COMPUTED_VALUE"""),"A Unified Model for Extractive and Abstractive Summarization using Inconsistency Loss")</f>
        <v>A Unified Model for Extractive and Abstractive Summarization using Inconsistency Loss</v>
      </c>
      <c r="B239" t="str">
        <f ca="1">IF(ISBLANK(A239), "", VLOOKUP(A239,'Annotated Papers'!238:1277,2,FALSE))</f>
        <v>NLP</v>
      </c>
      <c r="C239" s="24">
        <f ca="1">IF(ISBLANK(A239), "", VLOOKUP(A239,'Annotated Papers'!238:1277,5,FALSE))</f>
        <v>0</v>
      </c>
      <c r="D239">
        <f ca="1">IF(ISBLANK(A239), "", IF(COUNTIF('Annotated Papers'!A:A,A239)&gt;1,1,0))</f>
        <v>1</v>
      </c>
      <c r="E239">
        <f ca="1">IF(ISBLANK(A239), "", IF(SUMIFS('Annotated Papers'!G:G, 'Annotated Papers'!A:A,A239)&gt;0,1,0))</f>
        <v>0</v>
      </c>
      <c r="F239">
        <f ca="1">IF(ISBLANK(A239), "", IF(SUMIFS('Annotated Papers'!H:H, 'Annotated Papers'!A:A,A239)&gt;0,1,0))</f>
        <v>1</v>
      </c>
      <c r="G239" t="e">
        <f ca="1">IF(ISBLANK(A239), "", IF(SUMIFS('Annotated Papers'!I:I, 'Annotated Papers'!A:A,A239)&gt;0,1,0))</f>
        <v>#NAME?</v>
      </c>
      <c r="H239">
        <f ca="1">IF(ISBLANK(A239), "", IF(SUMIFS('Annotated Papers'!L:L, 'Annotated Papers'!A:A,A239)&gt;0,1,0))</f>
        <v>1</v>
      </c>
    </row>
    <row r="240" spans="1:8" ht="14">
      <c r="A240" s="26" t="str">
        <f ca="1">IFERROR(__xludf.DUMMYFUNCTION("""COMPUTED_VALUE"""),"NextGen AML: Distributed Deep Learning based Language Technologies
to Augment Anti Money Laundering Investigation")</f>
        <v>NextGen AML: Distributed Deep Learning based Language Technologies
to Augment Anti Money Laundering Investigation</v>
      </c>
      <c r="B240" t="str">
        <f ca="1">IF(ISBLANK(A240), "", VLOOKUP(A240,'Annotated Papers'!239:1278,2,FALSE))</f>
        <v>NLP</v>
      </c>
      <c r="C240" s="24">
        <f ca="1">IF(ISBLANK(A240), "", VLOOKUP(A240,'Annotated Papers'!239:1278,5,FALSE))</f>
        <v>0</v>
      </c>
      <c r="D240">
        <f ca="1">IF(ISBLANK(A240), "", IF(COUNTIF('Annotated Papers'!A:A,A240)&gt;1,1,0))</f>
        <v>1</v>
      </c>
      <c r="E240">
        <f ca="1">IF(ISBLANK(A240), "", IF(SUMIFS('Annotated Papers'!G:G, 'Annotated Papers'!A:A,A240)&gt;0,1,0))</f>
        <v>0</v>
      </c>
      <c r="F240">
        <f ca="1">IF(ISBLANK(A240), "", IF(SUMIFS('Annotated Papers'!H:H, 'Annotated Papers'!A:A,A240)&gt;0,1,0))</f>
        <v>1</v>
      </c>
      <c r="G240" t="e">
        <f ca="1">IF(ISBLANK(A240), "", IF(SUMIFS('Annotated Papers'!I:I, 'Annotated Papers'!A:A,A240)&gt;0,1,0))</f>
        <v>#NAME?</v>
      </c>
      <c r="H240">
        <f ca="1">IF(ISBLANK(A240), "", IF(SUMIFS('Annotated Papers'!L:L, 'Annotated Papers'!A:A,A240)&gt;0,1,0))</f>
        <v>0</v>
      </c>
    </row>
    <row r="241" spans="1:8" ht="14">
      <c r="A241" s="26" t="str">
        <f ca="1">IFERROR(__xludf.DUMMYFUNCTION("""COMPUTED_VALUE"""),"Dear Sir or Madam, May I Introduce the GYAFC Dataset: Corpus, Benchmarks and Metrics for Formality Style Transfer")</f>
        <v>Dear Sir or Madam, May I Introduce the GYAFC Dataset: Corpus, Benchmarks and Metrics for Formality Style Transfer</v>
      </c>
      <c r="B241" t="str">
        <f ca="1">IF(ISBLANK(A241), "", VLOOKUP(A241,'Annotated Papers'!240:1279,2,FALSE))</f>
        <v>NLP</v>
      </c>
      <c r="C241" s="24">
        <f ca="1">IF(ISBLANK(A241), "", VLOOKUP(A241,'Annotated Papers'!240:1279,5,FALSE))</f>
        <v>1</v>
      </c>
      <c r="D241">
        <f ca="1">IF(ISBLANK(A241), "", IF(COUNTIF('Annotated Papers'!A:A,A241)&gt;1,1,0))</f>
        <v>0</v>
      </c>
      <c r="E241">
        <f ca="1">IF(ISBLANK(A241), "", IF(SUMIFS('Annotated Papers'!G:G, 'Annotated Papers'!A:A,A241)&gt;0,1,0))</f>
        <v>0</v>
      </c>
      <c r="F241">
        <f ca="1">IF(ISBLANK(A241), "", IF(SUMIFS('Annotated Papers'!H:H, 'Annotated Papers'!A:A,A241)&gt;0,1,0))</f>
        <v>1</v>
      </c>
      <c r="G241" t="e">
        <f ca="1">IF(ISBLANK(A241), "", IF(SUMIFS('Annotated Papers'!I:I, 'Annotated Papers'!A:A,A241)&gt;0,1,0))</f>
        <v>#NAME?</v>
      </c>
      <c r="H241">
        <f ca="1">IF(ISBLANK(A241), "", IF(SUMIFS('Annotated Papers'!L:L, 'Annotated Papers'!A:A,A241)&gt;0,1,0))</f>
        <v>1</v>
      </c>
    </row>
    <row r="242" spans="1:8" ht="14">
      <c r="A242" s="25" t="str">
        <f ca="1">IFERROR(__xludf.DUMMYFUNCTION("""COMPUTED_VALUE"""),"Using Large Ensembles of Control Variates for Variational Inference")</f>
        <v>Using Large Ensembles of Control Variates for Variational Inference</v>
      </c>
      <c r="B242" t="str">
        <f ca="1">IF(ISBLANK(A242), "", VLOOKUP(A242,'Annotated Papers'!241:1280,2,FALSE))</f>
        <v>General</v>
      </c>
      <c r="C242" s="24">
        <f ca="1">IF(ISBLANK(A242), "", VLOOKUP(A242,'Annotated Papers'!241:1280,5,FALSE))</f>
        <v>0</v>
      </c>
      <c r="D242">
        <f ca="1">IF(ISBLANK(A242), "", IF(COUNTIF('Annotated Papers'!A:A,A242)&gt;1,1,0))</f>
        <v>1</v>
      </c>
      <c r="E242">
        <f ca="1">IF(ISBLANK(A242), "", IF(SUMIFS('Annotated Papers'!G:G, 'Annotated Papers'!A:A,A242)&gt;0,1,0))</f>
        <v>0</v>
      </c>
      <c r="F242">
        <f ca="1">IF(ISBLANK(A242), "", IF(SUMIFS('Annotated Papers'!H:H, 'Annotated Papers'!A:A,A242)&gt;0,1,0))</f>
        <v>1</v>
      </c>
      <c r="G242" t="e">
        <f ca="1">IF(ISBLANK(A242), "", IF(SUMIFS('Annotated Papers'!I:I, 'Annotated Papers'!A:A,A242)&gt;0,1,0))</f>
        <v>#NAME?</v>
      </c>
      <c r="H242">
        <f ca="1">IF(ISBLANK(A242), "", IF(SUMIFS('Annotated Papers'!L:L, 'Annotated Papers'!A:A,A242)&gt;0,1,0))</f>
        <v>0</v>
      </c>
    </row>
    <row r="243" spans="1:8" ht="14">
      <c r="A243" s="25" t="str">
        <f ca="1">IFERROR(__xludf.DUMMYFUNCTION("""COMPUTED_VALUE"""),"Q-learning with Nearest Neighbors")</f>
        <v>Q-learning with Nearest Neighbors</v>
      </c>
      <c r="B243" t="str">
        <f ca="1">IF(ISBLANK(A243), "", VLOOKUP(A243,'Annotated Papers'!242:1281,2,FALSE))</f>
        <v>General</v>
      </c>
      <c r="C243" s="24">
        <f ca="1">IF(ISBLANK(A243), "", VLOOKUP(A243,'Annotated Papers'!242:1281,5,FALSE))</f>
        <v>0</v>
      </c>
      <c r="D243">
        <f ca="1">IF(ISBLANK(A243), "", IF(COUNTIF('Annotated Papers'!A:A,A243)&gt;1,1,0))</f>
        <v>0</v>
      </c>
      <c r="E243">
        <f ca="1">IF(ISBLANK(A243), "", IF(SUMIFS('Annotated Papers'!G:G, 'Annotated Papers'!A:A,A243)&gt;0,1,0))</f>
        <v>0</v>
      </c>
      <c r="F243">
        <f ca="1">IF(ISBLANK(A243), "", IF(SUMIFS('Annotated Papers'!H:H, 'Annotated Papers'!A:A,A243)&gt;0,1,0))</f>
        <v>0</v>
      </c>
      <c r="G243">
        <f ca="1">IF(ISBLANK(A243), "", IF(SUMIFS('Annotated Papers'!I:I, 'Annotated Papers'!A:A,A243)&gt;0,1,0))</f>
        <v>0</v>
      </c>
      <c r="H243">
        <f ca="1">IF(ISBLANK(A243), "", IF(SUMIFS('Annotated Papers'!L:L, 'Annotated Papers'!A:A,A243)&gt;0,1,0))</f>
        <v>0</v>
      </c>
    </row>
    <row r="244" spans="1:8" ht="14">
      <c r="A244" s="25" t="str">
        <f ca="1">IFERROR(__xludf.DUMMYFUNCTION("""COMPUTED_VALUE"""),"Scaling the Poisson GLM to massive neural datasets through polynomial approximations")</f>
        <v>Scaling the Poisson GLM to massive neural datasets through polynomial approximations</v>
      </c>
      <c r="B244" t="str">
        <f ca="1">IF(ISBLANK(A244), "", VLOOKUP(A244,'Annotated Papers'!243:1282,2,FALSE))</f>
        <v>General</v>
      </c>
      <c r="C244" s="24">
        <f ca="1">IF(ISBLANK(A244), "", VLOOKUP(A244,'Annotated Papers'!243:1282,5,FALSE))</f>
        <v>1</v>
      </c>
      <c r="D244">
        <f ca="1">IF(ISBLANK(A244), "", IF(COUNTIF('Annotated Papers'!A:A,A244)&gt;1,1,0))</f>
        <v>0</v>
      </c>
      <c r="E244">
        <f ca="1">IF(ISBLANK(A244), "", IF(SUMIFS('Annotated Papers'!G:G, 'Annotated Papers'!A:A,A244)&gt;0,1,0))</f>
        <v>0</v>
      </c>
      <c r="F244">
        <f ca="1">IF(ISBLANK(A244), "", IF(SUMIFS('Annotated Papers'!H:H, 'Annotated Papers'!A:A,A244)&gt;0,1,0))</f>
        <v>1</v>
      </c>
      <c r="G244" t="e">
        <f ca="1">IF(ISBLANK(A244), "", IF(SUMIFS('Annotated Papers'!I:I, 'Annotated Papers'!A:A,A244)&gt;0,1,0))</f>
        <v>#NAME?</v>
      </c>
      <c r="H244">
        <f ca="1">IF(ISBLANK(A244), "", IF(SUMIFS('Annotated Papers'!L:L, 'Annotated Papers'!A:A,A244)&gt;0,1,0))</f>
        <v>0</v>
      </c>
    </row>
    <row r="245" spans="1:8" ht="14">
      <c r="A245" s="25" t="str">
        <f ca="1">IFERROR(__xludf.DUMMYFUNCTION("""COMPUTED_VALUE"""),"Online Learning with an Unknown Fairness Metric")</f>
        <v>Online Learning with an Unknown Fairness Metric</v>
      </c>
      <c r="B245" t="str">
        <f ca="1">IF(ISBLANK(A245), "", VLOOKUP(A245,'Annotated Papers'!244:1283,2,FALSE))</f>
        <v>General</v>
      </c>
      <c r="C245" s="24">
        <f ca="1">IF(ISBLANK(A245), "", VLOOKUP(A245,'Annotated Papers'!244:1283,5,FALSE))</f>
        <v>0</v>
      </c>
      <c r="D245">
        <f ca="1">IF(ISBLANK(A245), "", IF(COUNTIF('Annotated Papers'!A:A,A245)&gt;1,1,0))</f>
        <v>0</v>
      </c>
      <c r="E245">
        <f ca="1">IF(ISBLANK(A245), "", IF(SUMIFS('Annotated Papers'!G:G, 'Annotated Papers'!A:A,A245)&gt;0,1,0))</f>
        <v>0</v>
      </c>
      <c r="F245">
        <f ca="1">IF(ISBLANK(A245), "", IF(SUMIFS('Annotated Papers'!H:H, 'Annotated Papers'!A:A,A245)&gt;0,1,0))</f>
        <v>0</v>
      </c>
      <c r="G245">
        <f ca="1">IF(ISBLANK(A245), "", IF(SUMIFS('Annotated Papers'!I:I, 'Annotated Papers'!A:A,A245)&gt;0,1,0))</f>
        <v>0</v>
      </c>
      <c r="H245">
        <f ca="1">IF(ISBLANK(A245), "", IF(SUMIFS('Annotated Papers'!L:L, 'Annotated Papers'!A:A,A245)&gt;0,1,0))</f>
        <v>0</v>
      </c>
    </row>
    <row r="246" spans="1:8" ht="14">
      <c r="A246" s="25" t="str">
        <f ca="1">IFERROR(__xludf.DUMMYFUNCTION("""COMPUTED_VALUE"""),"A Framework for the Quantitative Evaluation of Disentangled Representations")</f>
        <v>A Framework for the Quantitative Evaluation of Disentangled Representations</v>
      </c>
      <c r="B246" t="str">
        <f ca="1">IF(ISBLANK(A246), "", VLOOKUP(A246,'Annotated Papers'!245:1284,2,FALSE))</f>
        <v>General</v>
      </c>
      <c r="C246" s="24">
        <f ca="1">IF(ISBLANK(A246), "", VLOOKUP(A246,'Annotated Papers'!245:1284,5,FALSE))</f>
        <v>1</v>
      </c>
      <c r="D246">
        <f ca="1">IF(ISBLANK(A246), "", IF(COUNTIF('Annotated Papers'!A:A,A246)&gt;1,1,0))</f>
        <v>0</v>
      </c>
      <c r="E246">
        <f ca="1">IF(ISBLANK(A246), "", IF(SUMIFS('Annotated Papers'!G:G, 'Annotated Papers'!A:A,A246)&gt;0,1,0))</f>
        <v>0</v>
      </c>
      <c r="F246">
        <f ca="1">IF(ISBLANK(A246), "", IF(SUMIFS('Annotated Papers'!H:H, 'Annotated Papers'!A:A,A246)&gt;0,1,0))</f>
        <v>1</v>
      </c>
      <c r="G246" t="e">
        <f ca="1">IF(ISBLANK(A246), "", IF(SUMIFS('Annotated Papers'!I:I, 'Annotated Papers'!A:A,A246)&gt;0,1,0))</f>
        <v>#NAME?</v>
      </c>
      <c r="H246">
        <f ca="1">IF(ISBLANK(A246), "", IF(SUMIFS('Annotated Papers'!L:L, 'Annotated Papers'!A:A,A246)&gt;0,1,0))</f>
        <v>0</v>
      </c>
    </row>
    <row r="247" spans="1:8" ht="14">
      <c r="A247" s="25" t="str">
        <f ca="1">IFERROR(__xludf.DUMMYFUNCTION("""COMPUTED_VALUE"""),"A Simple Neural Attentive Meta-Learner")</f>
        <v>A Simple Neural Attentive Meta-Learner</v>
      </c>
      <c r="B247" t="str">
        <f ca="1">IF(ISBLANK(A247), "", VLOOKUP(A247,'Annotated Papers'!246:1285,2,FALSE))</f>
        <v>General</v>
      </c>
      <c r="C247" s="24">
        <f ca="1">IF(ISBLANK(A247), "", VLOOKUP(A247,'Annotated Papers'!246:1285,5,FALSE))</f>
        <v>0</v>
      </c>
      <c r="D247">
        <f ca="1">IF(ISBLANK(A247), "", IF(COUNTIF('Annotated Papers'!A:A,A247)&gt;1,1,0))</f>
        <v>1</v>
      </c>
      <c r="E247">
        <f ca="1">IF(ISBLANK(A247), "", IF(SUMIFS('Annotated Papers'!G:G, 'Annotated Papers'!A:A,A247)&gt;0,1,0))</f>
        <v>0</v>
      </c>
      <c r="F247">
        <f ca="1">IF(ISBLANK(A247), "", IF(SUMIFS('Annotated Papers'!H:H, 'Annotated Papers'!A:A,A247)&gt;0,1,0))</f>
        <v>1</v>
      </c>
      <c r="G247" t="e">
        <f ca="1">IF(ISBLANK(A247), "", IF(SUMIFS('Annotated Papers'!I:I, 'Annotated Papers'!A:A,A247)&gt;0,1,0))</f>
        <v>#NAME?</v>
      </c>
      <c r="H247">
        <f ca="1">IF(ISBLANK(A247), "", IF(SUMIFS('Annotated Papers'!L:L, 'Annotated Papers'!A:A,A247)&gt;0,1,0))</f>
        <v>1</v>
      </c>
    </row>
    <row r="248" spans="1:8" ht="14">
      <c r="A248" s="25" t="str">
        <f ca="1">IFERROR(__xludf.DUMMYFUNCTION("""COMPUTED_VALUE"""),"Non-Autoregressive Neural Machine Translation")</f>
        <v>Non-Autoregressive Neural Machine Translation</v>
      </c>
      <c r="B248" t="str">
        <f ca="1">IF(ISBLANK(A248), "", VLOOKUP(A248,'Annotated Papers'!247:1286,2,FALSE))</f>
        <v>General</v>
      </c>
      <c r="C248" s="24">
        <f ca="1">IF(ISBLANK(A248), "", VLOOKUP(A248,'Annotated Papers'!247:1286,5,FALSE))</f>
        <v>0</v>
      </c>
      <c r="D248">
        <f ca="1">IF(ISBLANK(A248), "", IF(COUNTIF('Annotated Papers'!A:A,A248)&gt;1,1,0))</f>
        <v>1</v>
      </c>
      <c r="E248">
        <f ca="1">IF(ISBLANK(A248), "", IF(SUMIFS('Annotated Papers'!G:G, 'Annotated Papers'!A:A,A248)&gt;0,1,0))</f>
        <v>0</v>
      </c>
      <c r="F248">
        <f ca="1">IF(ISBLANK(A248), "", IF(SUMIFS('Annotated Papers'!H:H, 'Annotated Papers'!A:A,A248)&gt;0,1,0))</f>
        <v>1</v>
      </c>
      <c r="G248" t="e">
        <f ca="1">IF(ISBLANK(A248), "", IF(SUMIFS('Annotated Papers'!I:I, 'Annotated Papers'!A:A,A248)&gt;0,1,0))</f>
        <v>#NAME?</v>
      </c>
      <c r="H248">
        <f ca="1">IF(ISBLANK(A248), "", IF(SUMIFS('Annotated Papers'!L:L, 'Annotated Papers'!A:A,A248)&gt;0,1,0))</f>
        <v>0</v>
      </c>
    </row>
    <row r="249" spans="1:8" ht="14">
      <c r="A249" s="26" t="str">
        <f ca="1">IFERROR(__xludf.DUMMYFUNCTION("""COMPUTED_VALUE"""),"Improving Implicit Discourse Relation Classification by Modeling Inter-dependencies of Discourse Units in a Paragraph")</f>
        <v>Improving Implicit Discourse Relation Classification by Modeling Inter-dependencies of Discourse Units in a Paragraph</v>
      </c>
      <c r="B249" t="str">
        <f ca="1">IF(ISBLANK(A249), "", VLOOKUP(A249,'Annotated Papers'!248:1287,2,FALSE))</f>
        <v>NLP</v>
      </c>
      <c r="C249" s="24">
        <f ca="1">IF(ISBLANK(A249), "", VLOOKUP(A249,'Annotated Papers'!248:1287,5,FALSE))</f>
        <v>0</v>
      </c>
      <c r="D249">
        <f ca="1">IF(ISBLANK(A249), "", IF(COUNTIF('Annotated Papers'!A:A,A249)&gt;1,1,0))</f>
        <v>0</v>
      </c>
      <c r="E249">
        <f ca="1">IF(ISBLANK(A249), "", IF(SUMIFS('Annotated Papers'!G:G, 'Annotated Papers'!A:A,A249)&gt;0,1,0))</f>
        <v>0</v>
      </c>
      <c r="F249">
        <f ca="1">IF(ISBLANK(A249), "", IF(SUMIFS('Annotated Papers'!H:H, 'Annotated Papers'!A:A,A249)&gt;0,1,0))</f>
        <v>1</v>
      </c>
      <c r="G249" t="e">
        <f ca="1">IF(ISBLANK(A249), "", IF(SUMIFS('Annotated Papers'!I:I, 'Annotated Papers'!A:A,A249)&gt;0,1,0))</f>
        <v>#NAME?</v>
      </c>
      <c r="H249">
        <f ca="1">IF(ISBLANK(A249), "", IF(SUMIFS('Annotated Papers'!L:L, 'Annotated Papers'!A:A,A249)&gt;0,1,0))</f>
        <v>0</v>
      </c>
    </row>
    <row r="250" spans="1:8" ht="14">
      <c r="A250" s="26" t="str">
        <f ca="1">IFERROR(__xludf.DUMMYFUNCTION("""COMPUTED_VALUE"""),"A Deep Ensemble Model with Slot Alignment for Sequence-to-Sequence
Natural Language Generation")</f>
        <v>A Deep Ensemble Model with Slot Alignment for Sequence-to-Sequence
Natural Language Generation</v>
      </c>
      <c r="B250" t="str">
        <f ca="1">IF(ISBLANK(A250), "", VLOOKUP(A250,'Annotated Papers'!249:1288,2,FALSE))</f>
        <v>NLP</v>
      </c>
      <c r="C250" s="24">
        <f ca="1">IF(ISBLANK(A250), "", VLOOKUP(A250,'Annotated Papers'!249:1288,5,FALSE))</f>
        <v>0</v>
      </c>
      <c r="D250">
        <f ca="1">IF(ISBLANK(A250), "", IF(COUNTIF('Annotated Papers'!A:A,A250)&gt;1,1,0))</f>
        <v>1</v>
      </c>
      <c r="E250">
        <f ca="1">IF(ISBLANK(A250), "", IF(SUMIFS('Annotated Papers'!G:G, 'Annotated Papers'!A:A,A250)&gt;0,1,0))</f>
        <v>0</v>
      </c>
      <c r="F250">
        <f ca="1">IF(ISBLANK(A250), "", IF(SUMIFS('Annotated Papers'!H:H, 'Annotated Papers'!A:A,A250)&gt;0,1,0))</f>
        <v>1</v>
      </c>
      <c r="G250" t="e">
        <f ca="1">IF(ISBLANK(A250), "", IF(SUMIFS('Annotated Papers'!I:I, 'Annotated Papers'!A:A,A250)&gt;0,1,0))</f>
        <v>#NAME?</v>
      </c>
      <c r="H250">
        <f ca="1">IF(ISBLANK(A250), "", IF(SUMIFS('Annotated Papers'!L:L, 'Annotated Papers'!A:A,A250)&gt;0,1,0))</f>
        <v>0</v>
      </c>
    </row>
    <row r="251" spans="1:8" ht="14">
      <c r="A251" s="26" t="str">
        <f ca="1">IFERROR(__xludf.DUMMYFUNCTION("""COMPUTED_VALUE"""),"Getting Gender Right in Neural Machine Translation")</f>
        <v>Getting Gender Right in Neural Machine Translation</v>
      </c>
      <c r="B251" t="str">
        <f ca="1">IF(ISBLANK(A251), "", VLOOKUP(A251,'Annotated Papers'!250:1289,2,FALSE))</f>
        <v>NLP</v>
      </c>
      <c r="C251" s="24">
        <f ca="1">IF(ISBLANK(A251), "", VLOOKUP(A251,'Annotated Papers'!250:1289,5,FALSE))</f>
        <v>0</v>
      </c>
      <c r="D251">
        <f ca="1">IF(ISBLANK(A251), "", IF(COUNTIF('Annotated Papers'!A:A,A251)&gt;1,1,0))</f>
        <v>0</v>
      </c>
      <c r="E251">
        <f ca="1">IF(ISBLANK(A251), "", IF(SUMIFS('Annotated Papers'!G:G, 'Annotated Papers'!A:A,A251)&gt;0,1,0))</f>
        <v>0</v>
      </c>
      <c r="F251">
        <f ca="1">IF(ISBLANK(A251), "", IF(SUMIFS('Annotated Papers'!H:H, 'Annotated Papers'!A:A,A251)&gt;0,1,0))</f>
        <v>0</v>
      </c>
      <c r="G251" t="e">
        <f ca="1">IF(ISBLANK(A251), "", IF(SUMIFS('Annotated Papers'!I:I, 'Annotated Papers'!A:A,A251)&gt;0,1,0))</f>
        <v>#NAME?</v>
      </c>
      <c r="H251">
        <f ca="1">IF(ISBLANK(A251), "", IF(SUMIFS('Annotated Papers'!L:L, 'Annotated Papers'!A:A,A251)&gt;0,1,0))</f>
        <v>0</v>
      </c>
    </row>
    <row r="252" spans="1:8" ht="14">
      <c r="A252" s="26" t="str">
        <f ca="1">IFERROR(__xludf.DUMMYFUNCTION("""COMPUTED_VALUE"""),"Investigating Capsule Networks with Dynamic Routing for Text Classification")</f>
        <v>Investigating Capsule Networks with Dynamic Routing for Text Classification</v>
      </c>
      <c r="B252" t="str">
        <f ca="1">IF(ISBLANK(A252), "", VLOOKUP(A252,'Annotated Papers'!251:1290,2,FALSE))</f>
        <v>NLP</v>
      </c>
      <c r="C252" s="24">
        <f ca="1">IF(ISBLANK(A252), "", VLOOKUP(A252,'Annotated Papers'!251:1290,5,FALSE))</f>
        <v>1</v>
      </c>
      <c r="D252">
        <f ca="1">IF(ISBLANK(A252), "", IF(COUNTIF('Annotated Papers'!A:A,A252)&gt;1,1,0))</f>
        <v>1</v>
      </c>
      <c r="E252">
        <f ca="1">IF(ISBLANK(A252), "", IF(SUMIFS('Annotated Papers'!G:G, 'Annotated Papers'!A:A,A252)&gt;0,1,0))</f>
        <v>0</v>
      </c>
      <c r="F252">
        <f ca="1">IF(ISBLANK(A252), "", IF(SUMIFS('Annotated Papers'!H:H, 'Annotated Papers'!A:A,A252)&gt;0,1,0))</f>
        <v>1</v>
      </c>
      <c r="G252" t="e">
        <f ca="1">IF(ISBLANK(A252), "", IF(SUMIFS('Annotated Papers'!I:I, 'Annotated Papers'!A:A,A252)&gt;0,1,0))</f>
        <v>#NAME?</v>
      </c>
      <c r="H252">
        <f ca="1">IF(ISBLANK(A252), "", IF(SUMIFS('Annotated Papers'!L:L, 'Annotated Papers'!A:A,A252)&gt;0,1,0))</f>
        <v>0</v>
      </c>
    </row>
    <row r="253" spans="1:8" ht="14">
      <c r="A253" s="26" t="str">
        <f ca="1">IFERROR(__xludf.DUMMYFUNCTION("""COMPUTED_VALUE"""),"Textual Analogy Parsing: What’s Shared and What’s Compared among Analogous Facts")</f>
        <v>Textual Analogy Parsing: What’s Shared and What’s Compared among Analogous Facts</v>
      </c>
      <c r="B253" t="str">
        <f ca="1">IF(ISBLANK(A253), "", VLOOKUP(A253,'Annotated Papers'!252:1291,2,FALSE))</f>
        <v>NLP</v>
      </c>
      <c r="C253" s="24">
        <f ca="1">IF(ISBLANK(A253), "", VLOOKUP(A253,'Annotated Papers'!252:1291,5,FALSE))</f>
        <v>0</v>
      </c>
      <c r="D253">
        <f ca="1">IF(ISBLANK(A253), "", IF(COUNTIF('Annotated Papers'!A:A,A253)&gt;1,1,0))</f>
        <v>0</v>
      </c>
      <c r="E253">
        <f ca="1">IF(ISBLANK(A253), "", IF(SUMIFS('Annotated Papers'!G:G, 'Annotated Papers'!A:A,A253)&gt;0,1,0))</f>
        <v>0</v>
      </c>
      <c r="F253">
        <f ca="1">IF(ISBLANK(A253), "", IF(SUMIFS('Annotated Papers'!H:H, 'Annotated Papers'!A:A,A253)&gt;0,1,0))</f>
        <v>0</v>
      </c>
      <c r="G253" t="e">
        <f ca="1">IF(ISBLANK(A253), "", IF(SUMIFS('Annotated Papers'!I:I, 'Annotated Papers'!A:A,A253)&gt;0,1,0))</f>
        <v>#NAME?</v>
      </c>
      <c r="H253">
        <f ca="1">IF(ISBLANK(A253), "", IF(SUMIFS('Annotated Papers'!L:L, 'Annotated Papers'!A:A,A253)&gt;0,1,0))</f>
        <v>0</v>
      </c>
    </row>
    <row r="254" spans="1:8" ht="14">
      <c r="A254" s="26" t="str">
        <f ca="1">IFERROR(__xludf.DUMMYFUNCTION("""COMPUTED_VALUE"""),"Extracting Commonsense Properties from Embeddings with Limited
Human Guidance")</f>
        <v>Extracting Commonsense Properties from Embeddings with Limited
Human Guidance</v>
      </c>
      <c r="B254" t="str">
        <f ca="1">IF(ISBLANK(A254), "", VLOOKUP(A254,'Annotated Papers'!253:1292,2,FALSE))</f>
        <v>NLP</v>
      </c>
      <c r="C254" s="24">
        <f ca="1">IF(ISBLANK(A254), "", VLOOKUP(A254,'Annotated Papers'!253:1292,5,FALSE))</f>
        <v>1</v>
      </c>
      <c r="D254">
        <f ca="1">IF(ISBLANK(A254), "", IF(COUNTIF('Annotated Papers'!A:A,A254)&gt;1,1,0))</f>
        <v>1</v>
      </c>
      <c r="E254">
        <f ca="1">IF(ISBLANK(A254), "", IF(SUMIFS('Annotated Papers'!G:G, 'Annotated Papers'!A:A,A254)&gt;0,1,0))</f>
        <v>0</v>
      </c>
      <c r="F254">
        <f ca="1">IF(ISBLANK(A254), "", IF(SUMIFS('Annotated Papers'!H:H, 'Annotated Papers'!A:A,A254)&gt;0,1,0))</f>
        <v>1</v>
      </c>
      <c r="G254" t="e">
        <f ca="1">IF(ISBLANK(A254), "", IF(SUMIFS('Annotated Papers'!I:I, 'Annotated Papers'!A:A,A254)&gt;0,1,0))</f>
        <v>#NAME?</v>
      </c>
      <c r="H254">
        <f ca="1">IF(ISBLANK(A254), "", IF(SUMIFS('Annotated Papers'!L:L, 'Annotated Papers'!A:A,A254)&gt;0,1,0))</f>
        <v>1</v>
      </c>
    </row>
    <row r="255" spans="1:8" ht="14">
      <c r="A255" s="26" t="str">
        <f ca="1">IFERROR(__xludf.DUMMYFUNCTION("""COMPUTED_VALUE"""),"Training Classifiers with Natural Language Explanations")</f>
        <v>Training Classifiers with Natural Language Explanations</v>
      </c>
      <c r="B255" t="str">
        <f ca="1">IF(ISBLANK(A255), "", VLOOKUP(A255,'Annotated Papers'!254:1293,2,FALSE))</f>
        <v>NLP</v>
      </c>
      <c r="C255" s="24">
        <f ca="1">IF(ISBLANK(A255), "", VLOOKUP(A255,'Annotated Papers'!254:1293,5,FALSE))</f>
        <v>1</v>
      </c>
      <c r="D255">
        <f ca="1">IF(ISBLANK(A255), "", IF(COUNTIF('Annotated Papers'!A:A,A255)&gt;1,1,0))</f>
        <v>1</v>
      </c>
      <c r="E255">
        <f ca="1">IF(ISBLANK(A255), "", IF(SUMIFS('Annotated Papers'!G:G, 'Annotated Papers'!A:A,A255)&gt;0,1,0))</f>
        <v>0</v>
      </c>
      <c r="F255">
        <f ca="1">IF(ISBLANK(A255), "", IF(SUMIFS('Annotated Papers'!H:H, 'Annotated Papers'!A:A,A255)&gt;0,1,0))</f>
        <v>1</v>
      </c>
      <c r="G255" t="e">
        <f ca="1">IF(ISBLANK(A255), "", IF(SUMIFS('Annotated Papers'!I:I, 'Annotated Papers'!A:A,A255)&gt;0,1,0))</f>
        <v>#NAME?</v>
      </c>
      <c r="H255">
        <f ca="1">IF(ISBLANK(A255), "", IF(SUMIFS('Annotated Papers'!L:L, 'Annotated Papers'!A:A,A255)&gt;0,1,0))</f>
        <v>0</v>
      </c>
    </row>
    <row r="256" spans="1:8" ht="14">
      <c r="A256" s="26" t="str">
        <f ca="1">IFERROR(__xludf.DUMMYFUNCTION("""COMPUTED_VALUE"""),"Strong Baselines for Neural Semi-Supervised Learning
under Domain Shift")</f>
        <v>Strong Baselines for Neural Semi-Supervised Learning
under Domain Shift</v>
      </c>
      <c r="B256" t="str">
        <f ca="1">IF(ISBLANK(A256), "", VLOOKUP(A256,'Annotated Papers'!255:1294,2,FALSE))</f>
        <v>NLP</v>
      </c>
      <c r="C256" s="24">
        <f ca="1">IF(ISBLANK(A256), "", VLOOKUP(A256,'Annotated Papers'!255:1294,5,FALSE))</f>
        <v>1</v>
      </c>
      <c r="D256">
        <f ca="1">IF(ISBLANK(A256), "", IF(COUNTIF('Annotated Papers'!A:A,A256)&gt;1,1,0))</f>
        <v>1</v>
      </c>
      <c r="E256">
        <f ca="1">IF(ISBLANK(A256), "", IF(SUMIFS('Annotated Papers'!G:G, 'Annotated Papers'!A:A,A256)&gt;0,1,0))</f>
        <v>0</v>
      </c>
      <c r="F256">
        <f ca="1">IF(ISBLANK(A256), "", IF(SUMIFS('Annotated Papers'!H:H, 'Annotated Papers'!A:A,A256)&gt;0,1,0))</f>
        <v>1</v>
      </c>
      <c r="G256" t="e">
        <f ca="1">IF(ISBLANK(A256), "", IF(SUMIFS('Annotated Papers'!I:I, 'Annotated Papers'!A:A,A256)&gt;0,1,0))</f>
        <v>#NAME?</v>
      </c>
      <c r="H256">
        <f ca="1">IF(ISBLANK(A256), "", IF(SUMIFS('Annotated Papers'!L:L, 'Annotated Papers'!A:A,A256)&gt;0,1,0))</f>
        <v>1</v>
      </c>
    </row>
    <row r="257" spans="1:8" ht="14">
      <c r="A257" s="25" t="str">
        <f ca="1">IFERROR(__xludf.DUMMYFUNCTION("""COMPUTED_VALUE"""),"Deep Learning and Quantum Entanglement: Fundamental Connections with Implications to Network Design")</f>
        <v>Deep Learning and Quantum Entanglement: Fundamental Connections with Implications to Network Design</v>
      </c>
      <c r="B257" t="str">
        <f ca="1">IF(ISBLANK(A257), "", VLOOKUP(A257,'Annotated Papers'!256:1295,2,FALSE))</f>
        <v>General</v>
      </c>
      <c r="C257" s="24">
        <f ca="1">IF(ISBLANK(A257), "", VLOOKUP(A257,'Annotated Papers'!256:1295,5,FALSE))</f>
        <v>0</v>
      </c>
      <c r="D257">
        <f ca="1">IF(ISBLANK(A257), "", IF(COUNTIF('Annotated Papers'!A:A,A257)&gt;1,1,0))</f>
        <v>0</v>
      </c>
      <c r="E257">
        <f ca="1">IF(ISBLANK(A257), "", IF(SUMIFS('Annotated Papers'!G:G, 'Annotated Papers'!A:A,A257)&gt;0,1,0))</f>
        <v>0</v>
      </c>
      <c r="F257">
        <f ca="1">IF(ISBLANK(A257), "", IF(SUMIFS('Annotated Papers'!H:H, 'Annotated Papers'!A:A,A257)&gt;0,1,0))</f>
        <v>0</v>
      </c>
      <c r="G257" t="e">
        <f ca="1">IF(ISBLANK(A257), "", IF(SUMIFS('Annotated Papers'!I:I, 'Annotated Papers'!A:A,A257)&gt;0,1,0))</f>
        <v>#NAME?</v>
      </c>
      <c r="H257">
        <f ca="1">IF(ISBLANK(A257), "", IF(SUMIFS('Annotated Papers'!L:L, 'Annotated Papers'!A:A,A257)&gt;0,1,0))</f>
        <v>0</v>
      </c>
    </row>
    <row r="258" spans="1:8" ht="14">
      <c r="A258" s="25" t="str">
        <f ca="1">IFERROR(__xludf.DUMMYFUNCTION("""COMPUTED_VALUE"""),"Concepts-Bridges: Uncovering Conceptual Bridges Based on Biomedical Concept Evolution")</f>
        <v>Concepts-Bridges: Uncovering Conceptual Bridges Based on Biomedical Concept Evolution</v>
      </c>
      <c r="B258" t="str">
        <f ca="1">IF(ISBLANK(A258), "", VLOOKUP(A258,'Annotated Papers'!257:1296,2,FALSE))</f>
        <v>General</v>
      </c>
      <c r="C258" s="24">
        <f ca="1">IF(ISBLANK(A258), "", VLOOKUP(A258,'Annotated Papers'!257:1296,5,FALSE))</f>
        <v>1</v>
      </c>
      <c r="D258">
        <f ca="1">IF(ISBLANK(A258), "", IF(COUNTIF('Annotated Papers'!A:A,A258)&gt;1,1,0))</f>
        <v>0</v>
      </c>
      <c r="E258">
        <f ca="1">IF(ISBLANK(A258), "", IF(SUMIFS('Annotated Papers'!G:G, 'Annotated Papers'!A:A,A258)&gt;0,1,0))</f>
        <v>0</v>
      </c>
      <c r="F258">
        <f ca="1">IF(ISBLANK(A258), "", IF(SUMIFS('Annotated Papers'!H:H, 'Annotated Papers'!A:A,A258)&gt;0,1,0))</f>
        <v>1</v>
      </c>
      <c r="G258" t="e">
        <f ca="1">IF(ISBLANK(A258), "", IF(SUMIFS('Annotated Papers'!I:I, 'Annotated Papers'!A:A,A258)&gt;0,1,0))</f>
        <v>#NAME?</v>
      </c>
      <c r="H258">
        <f ca="1">IF(ISBLANK(A258), "", IF(SUMIFS('Annotated Papers'!L:L, 'Annotated Papers'!A:A,A258)&gt;0,1,0))</f>
        <v>1</v>
      </c>
    </row>
    <row r="259" spans="1:8" ht="14">
      <c r="A259" s="25" t="str">
        <f ca="1">IFERROR(__xludf.DUMMYFUNCTION("""COMPUTED_VALUE"""),"BagMinHash – Minwise Hashing Algorithm for Weighted Sets")</f>
        <v>BagMinHash – Minwise Hashing Algorithm for Weighted Sets</v>
      </c>
      <c r="B259" t="str">
        <f ca="1">IF(ISBLANK(A259), "", VLOOKUP(A259,'Annotated Papers'!258:1297,2,FALSE))</f>
        <v>General</v>
      </c>
      <c r="C259" s="24">
        <f ca="1">IF(ISBLANK(A259), "", VLOOKUP(A259,'Annotated Papers'!258:1297,5,FALSE))</f>
        <v>1</v>
      </c>
      <c r="D259">
        <f ca="1">IF(ISBLANK(A259), "", IF(COUNTIF('Annotated Papers'!A:A,A259)&gt;1,1,0))</f>
        <v>0</v>
      </c>
      <c r="E259">
        <f ca="1">IF(ISBLANK(A259), "", IF(SUMIFS('Annotated Papers'!G:G, 'Annotated Papers'!A:A,A259)&gt;0,1,0))</f>
        <v>0</v>
      </c>
      <c r="F259">
        <f ca="1">IF(ISBLANK(A259), "", IF(SUMIFS('Annotated Papers'!H:H, 'Annotated Papers'!A:A,A259)&gt;0,1,0))</f>
        <v>1</v>
      </c>
      <c r="G259" t="e">
        <f ca="1">IF(ISBLANK(A259), "", IF(SUMIFS('Annotated Papers'!I:I, 'Annotated Papers'!A:A,A259)&gt;0,1,0))</f>
        <v>#NAME?</v>
      </c>
      <c r="H259">
        <f ca="1">IF(ISBLANK(A259), "", IF(SUMIFS('Annotated Papers'!L:L, 'Annotated Papers'!A:A,A259)&gt;0,1,0))</f>
        <v>1</v>
      </c>
    </row>
    <row r="260" spans="1:8" ht="14">
      <c r="A260" s="25" t="str">
        <f ca="1">IFERROR(__xludf.DUMMYFUNCTION("""COMPUTED_VALUE"""),"Optimal Distributed Submodular Optimization via Sketching")</f>
        <v>Optimal Distributed Submodular Optimization via Sketching</v>
      </c>
      <c r="B260" t="str">
        <f ca="1">IF(ISBLANK(A260), "", VLOOKUP(A260,'Annotated Papers'!259:1298,2,FALSE))</f>
        <v>General</v>
      </c>
      <c r="C260" s="24">
        <f ca="1">IF(ISBLANK(A260), "", VLOOKUP(A260,'Annotated Papers'!259:1298,5,FALSE))</f>
        <v>0</v>
      </c>
      <c r="D260">
        <f ca="1">IF(ISBLANK(A260), "", IF(COUNTIF('Annotated Papers'!A:A,A260)&gt;1,1,0))</f>
        <v>1</v>
      </c>
      <c r="E260">
        <f ca="1">IF(ISBLANK(A260), "", IF(SUMIFS('Annotated Papers'!G:G, 'Annotated Papers'!A:A,A260)&gt;0,1,0))</f>
        <v>0</v>
      </c>
      <c r="F260">
        <f ca="1">IF(ISBLANK(A260), "", IF(SUMIFS('Annotated Papers'!H:H, 'Annotated Papers'!A:A,A260)&gt;0,1,0))</f>
        <v>1</v>
      </c>
      <c r="G260" t="e">
        <f ca="1">IF(ISBLANK(A260), "", IF(SUMIFS('Annotated Papers'!I:I, 'Annotated Papers'!A:A,A260)&gt;0,1,0))</f>
        <v>#NAME?</v>
      </c>
      <c r="H260">
        <f ca="1">IF(ISBLANK(A260), "", IF(SUMIFS('Annotated Papers'!L:L, 'Annotated Papers'!A:A,A260)&gt;0,1,0))</f>
        <v>0</v>
      </c>
    </row>
    <row r="261" spans="1:8" ht="14">
      <c r="A261" s="25" t="str">
        <f ca="1">IFERROR(__xludf.DUMMYFUNCTION("""COMPUTED_VALUE"""),"Model-based Clustering of Short Text Streams")</f>
        <v>Model-based Clustering of Short Text Streams</v>
      </c>
      <c r="B261" t="str">
        <f ca="1">IF(ISBLANK(A261), "", VLOOKUP(A261,'Annotated Papers'!260:1299,2,FALSE))</f>
        <v>General</v>
      </c>
      <c r="C261" s="24">
        <f ca="1">IF(ISBLANK(A261), "", VLOOKUP(A261,'Annotated Papers'!260:1299,5,FALSE))</f>
        <v>1</v>
      </c>
      <c r="D261">
        <f ca="1">IF(ISBLANK(A261), "", IF(COUNTIF('Annotated Papers'!A:A,A261)&gt;1,1,0))</f>
        <v>1</v>
      </c>
      <c r="E261">
        <f ca="1">IF(ISBLANK(A261), "", IF(SUMIFS('Annotated Papers'!G:G, 'Annotated Papers'!A:A,A261)&gt;0,1,0))</f>
        <v>0</v>
      </c>
      <c r="F261">
        <f ca="1">IF(ISBLANK(A261), "", IF(SUMIFS('Annotated Papers'!H:H, 'Annotated Papers'!A:A,A261)&gt;0,1,0))</f>
        <v>1</v>
      </c>
      <c r="G261" t="e">
        <f ca="1">IF(ISBLANK(A261), "", IF(SUMIFS('Annotated Papers'!I:I, 'Annotated Papers'!A:A,A261)&gt;0,1,0))</f>
        <v>#NAME?</v>
      </c>
      <c r="H261">
        <f ca="1">IF(ISBLANK(A261), "", IF(SUMIFS('Annotated Papers'!L:L, 'Annotated Papers'!A:A,A261)&gt;0,1,0))</f>
        <v>1</v>
      </c>
    </row>
    <row r="262" spans="1:8" ht="14">
      <c r="A262" s="26" t="str">
        <f ca="1">IFERROR(__xludf.DUMMYFUNCTION("""COMPUTED_VALUE"""),"A Melody-conditioned Lyrics Language Model")</f>
        <v>A Melody-conditioned Lyrics Language Model</v>
      </c>
      <c r="B262" t="str">
        <f ca="1">IF(ISBLANK(A262), "", VLOOKUP(A262,'Annotated Papers'!261:1300,2,FALSE))</f>
        <v>NLP</v>
      </c>
      <c r="C262" s="24">
        <f ca="1">IF(ISBLANK(A262), "", VLOOKUP(A262,'Annotated Papers'!261:1300,5,FALSE))</f>
        <v>0</v>
      </c>
      <c r="D262">
        <f ca="1">IF(ISBLANK(A262), "", IF(COUNTIF('Annotated Papers'!A:A,A262)&gt;1,1,0))</f>
        <v>0</v>
      </c>
      <c r="E262">
        <f ca="1">IF(ISBLANK(A262), "", IF(SUMIFS('Annotated Papers'!G:G, 'Annotated Papers'!A:A,A262)&gt;0,1,0))</f>
        <v>0</v>
      </c>
      <c r="F262">
        <f ca="1">IF(ISBLANK(A262), "", IF(SUMIFS('Annotated Papers'!H:H, 'Annotated Papers'!A:A,A262)&gt;0,1,0))</f>
        <v>1</v>
      </c>
      <c r="G262" t="e">
        <f ca="1">IF(ISBLANK(A262), "", IF(SUMIFS('Annotated Papers'!I:I, 'Annotated Papers'!A:A,A262)&gt;0,1,0))</f>
        <v>#NAME?</v>
      </c>
      <c r="H262">
        <f ca="1">IF(ISBLANK(A262), "", IF(SUMIFS('Annotated Papers'!L:L, 'Annotated Papers'!A:A,A262)&gt;0,1,0))</f>
        <v>1</v>
      </c>
    </row>
    <row r="263" spans="1:8" ht="14">
      <c r="A263" s="26" t="str">
        <f ca="1">IFERROR(__xludf.DUMMYFUNCTION("""COMPUTED_VALUE"""),"Discourse-Aware Neural Rewards for Coherent Text Generation")</f>
        <v>Discourse-Aware Neural Rewards for Coherent Text Generation</v>
      </c>
      <c r="B263" t="str">
        <f ca="1">IF(ISBLANK(A263), "", VLOOKUP(A263,'Annotated Papers'!262:1301,2,FALSE))</f>
        <v>NLP</v>
      </c>
      <c r="C263" s="24">
        <f ca="1">IF(ISBLANK(A263), "", VLOOKUP(A263,'Annotated Papers'!262:1301,5,FALSE))</f>
        <v>0</v>
      </c>
      <c r="D263">
        <f ca="1">IF(ISBLANK(A263), "", IF(COUNTIF('Annotated Papers'!A:A,A263)&gt;1,1,0))</f>
        <v>0</v>
      </c>
      <c r="E263">
        <f ca="1">IF(ISBLANK(A263), "", IF(SUMIFS('Annotated Papers'!G:G, 'Annotated Papers'!A:A,A263)&gt;0,1,0))</f>
        <v>0</v>
      </c>
      <c r="F263">
        <f ca="1">IF(ISBLANK(A263), "", IF(SUMIFS('Annotated Papers'!H:H, 'Annotated Papers'!A:A,A263)&gt;0,1,0))</f>
        <v>1</v>
      </c>
      <c r="G263" t="e">
        <f ca="1">IF(ISBLANK(A263), "", IF(SUMIFS('Annotated Papers'!I:I, 'Annotated Papers'!A:A,A263)&gt;0,1,0))</f>
        <v>#NAME?</v>
      </c>
      <c r="H263">
        <f ca="1">IF(ISBLANK(A263), "", IF(SUMIFS('Annotated Papers'!L:L, 'Annotated Papers'!A:A,A263)&gt;0,1,0))</f>
        <v>0</v>
      </c>
    </row>
    <row r="264" spans="1:8" ht="14">
      <c r="A264" s="26" t="str">
        <f ca="1">IFERROR(__xludf.DUMMYFUNCTION("""COMPUTED_VALUE"""),"Natural Answer Generation with Heterogeneous Memory")</f>
        <v>Natural Answer Generation with Heterogeneous Memory</v>
      </c>
      <c r="B264" t="str">
        <f ca="1">IF(ISBLANK(A264), "", VLOOKUP(A264,'Annotated Papers'!263:1302,2,FALSE))</f>
        <v>NLP</v>
      </c>
      <c r="C264" s="24">
        <f ca="1">IF(ISBLANK(A264), "", VLOOKUP(A264,'Annotated Papers'!263:1302,5,FALSE))</f>
        <v>0</v>
      </c>
      <c r="D264">
        <f ca="1">IF(ISBLANK(A264), "", IF(COUNTIF('Annotated Papers'!A:A,A264)&gt;1,1,0))</f>
        <v>1</v>
      </c>
      <c r="E264">
        <f ca="1">IF(ISBLANK(A264), "", IF(SUMIFS('Annotated Papers'!G:G, 'Annotated Papers'!A:A,A264)&gt;0,1,0))</f>
        <v>0</v>
      </c>
      <c r="F264">
        <f ca="1">IF(ISBLANK(A264), "", IF(SUMIFS('Annotated Papers'!H:H, 'Annotated Papers'!A:A,A264)&gt;0,1,0))</f>
        <v>0</v>
      </c>
      <c r="G264" t="e">
        <f ca="1">IF(ISBLANK(A264), "", IF(SUMIFS('Annotated Papers'!I:I, 'Annotated Papers'!A:A,A264)&gt;0,1,0))</f>
        <v>#NAME?</v>
      </c>
      <c r="H264">
        <f ca="1">IF(ISBLANK(A264), "", IF(SUMIFS('Annotated Papers'!L:L, 'Annotated Papers'!A:A,A264)&gt;0,1,0))</f>
        <v>0</v>
      </c>
    </row>
    <row r="265" spans="1:8" ht="14">
      <c r="A265" s="26" t="str">
        <f ca="1">IFERROR(__xludf.DUMMYFUNCTION("""COMPUTED_VALUE"""),"Improving Abstraction in Text Summarization")</f>
        <v>Improving Abstraction in Text Summarization</v>
      </c>
      <c r="B265" t="str">
        <f ca="1">IF(ISBLANK(A265), "", VLOOKUP(A265,'Annotated Papers'!264:1303,2,FALSE))</f>
        <v>NLP</v>
      </c>
      <c r="C265" s="24">
        <f ca="1">IF(ISBLANK(A265), "", VLOOKUP(A265,'Annotated Papers'!264:1303,5,FALSE))</f>
        <v>0</v>
      </c>
      <c r="D265">
        <f ca="1">IF(ISBLANK(A265), "", IF(COUNTIF('Annotated Papers'!A:A,A265)&gt;1,1,0))</f>
        <v>1</v>
      </c>
      <c r="E265">
        <f ca="1">IF(ISBLANK(A265), "", IF(SUMIFS('Annotated Papers'!G:G, 'Annotated Papers'!A:A,A265)&gt;0,1,0))</f>
        <v>0</v>
      </c>
      <c r="F265">
        <f ca="1">IF(ISBLANK(A265), "", IF(SUMIFS('Annotated Papers'!H:H, 'Annotated Papers'!A:A,A265)&gt;0,1,0))</f>
        <v>1</v>
      </c>
      <c r="G265" t="e">
        <f ca="1">IF(ISBLANK(A265), "", IF(SUMIFS('Annotated Papers'!I:I, 'Annotated Papers'!A:A,A265)&gt;0,1,0))</f>
        <v>#NAME?</v>
      </c>
      <c r="H265">
        <f ca="1">IF(ISBLANK(A265), "", IF(SUMIFS('Annotated Papers'!L:L, 'Annotated Papers'!A:A,A265)&gt;0,1,0))</f>
        <v>1</v>
      </c>
    </row>
    <row r="266" spans="1:8" ht="14">
      <c r="A266" s="26" t="str">
        <f ca="1">IFERROR(__xludf.DUMMYFUNCTION("""COMPUTED_VALUE"""),"Hierarchical Neural Networks for Sequential Sentence Classification in
Medical Scientific Abstracts")</f>
        <v>Hierarchical Neural Networks for Sequential Sentence Classification in
Medical Scientific Abstracts</v>
      </c>
      <c r="B266" t="str">
        <f ca="1">IF(ISBLANK(A266), "", VLOOKUP(A266,'Annotated Papers'!265:1304,2,FALSE))</f>
        <v>NLP</v>
      </c>
      <c r="C266" s="24">
        <f ca="1">IF(ISBLANK(A266), "", VLOOKUP(A266,'Annotated Papers'!265:1304,5,FALSE))</f>
        <v>1</v>
      </c>
      <c r="D266">
        <f ca="1">IF(ISBLANK(A266), "", IF(COUNTIF('Annotated Papers'!A:A,A266)&gt;1,1,0))</f>
        <v>1</v>
      </c>
      <c r="E266">
        <f ca="1">IF(ISBLANK(A266), "", IF(SUMIFS('Annotated Papers'!G:G, 'Annotated Papers'!A:A,A266)&gt;0,1,0))</f>
        <v>0</v>
      </c>
      <c r="F266">
        <f ca="1">IF(ISBLANK(A266), "", IF(SUMIFS('Annotated Papers'!H:H, 'Annotated Papers'!A:A,A266)&gt;0,1,0))</f>
        <v>1</v>
      </c>
      <c r="G266" t="e">
        <f ca="1">IF(ISBLANK(A266), "", IF(SUMIFS('Annotated Papers'!I:I, 'Annotated Papers'!A:A,A266)&gt;0,1,0))</f>
        <v>#NAME?</v>
      </c>
      <c r="H266">
        <f ca="1">IF(ISBLANK(A266), "", IF(SUMIFS('Annotated Papers'!L:L, 'Annotated Papers'!A:A,A266)&gt;0,1,0))</f>
        <v>0</v>
      </c>
    </row>
    <row r="267" spans="1:8" ht="14">
      <c r="A267" s="26" t="str">
        <f ca="1">IFERROR(__xludf.DUMMYFUNCTION("""COMPUTED_VALUE"""),"Modeling Localness for Self-Attention Networks")</f>
        <v>Modeling Localness for Self-Attention Networks</v>
      </c>
      <c r="B267" t="str">
        <f ca="1">IF(ISBLANK(A267), "", VLOOKUP(A267,'Annotated Papers'!266:1305,2,FALSE))</f>
        <v>NLP</v>
      </c>
      <c r="C267" s="24">
        <f ca="1">IF(ISBLANK(A267), "", VLOOKUP(A267,'Annotated Papers'!266:1305,5,FALSE))</f>
        <v>0</v>
      </c>
      <c r="D267">
        <f ca="1">IF(ISBLANK(A267), "", IF(COUNTIF('Annotated Papers'!A:A,A267)&gt;1,1,0))</f>
        <v>1</v>
      </c>
      <c r="E267">
        <f ca="1">IF(ISBLANK(A267), "", IF(SUMIFS('Annotated Papers'!G:G, 'Annotated Papers'!A:A,A267)&gt;0,1,0))</f>
        <v>0</v>
      </c>
      <c r="F267">
        <f ca="1">IF(ISBLANK(A267), "", IF(SUMIFS('Annotated Papers'!H:H, 'Annotated Papers'!A:A,A267)&gt;0,1,0))</f>
        <v>1</v>
      </c>
      <c r="G267" t="e">
        <f ca="1">IF(ISBLANK(A267), "", IF(SUMIFS('Annotated Papers'!I:I, 'Annotated Papers'!A:A,A267)&gt;0,1,0))</f>
        <v>#NAME?</v>
      </c>
      <c r="H267">
        <f ca="1">IF(ISBLANK(A267), "", IF(SUMIFS('Annotated Papers'!L:L, 'Annotated Papers'!A:A,A267)&gt;0,1,0))</f>
        <v>0</v>
      </c>
    </row>
    <row r="268" spans="1:8" ht="14">
      <c r="A268" s="25" t="str">
        <f ca="1">IFERROR(__xludf.DUMMYFUNCTION("""COMPUTED_VALUE"""),"Mitigating Adversarial Effects Through Randomization")</f>
        <v>Mitigating Adversarial Effects Through Randomization</v>
      </c>
      <c r="B268" t="str">
        <f ca="1">IF(ISBLANK(A268), "", VLOOKUP(A268,'Annotated Papers'!267:1306,2,FALSE))</f>
        <v>General</v>
      </c>
      <c r="C268" s="24">
        <f ca="1">IF(ISBLANK(A268), "", VLOOKUP(A268,'Annotated Papers'!267:1306,5,FALSE))</f>
        <v>1</v>
      </c>
      <c r="D268">
        <f ca="1">IF(ISBLANK(A268), "", IF(COUNTIF('Annotated Papers'!A:A,A268)&gt;1,1,0))</f>
        <v>0</v>
      </c>
      <c r="E268">
        <f ca="1">IF(ISBLANK(A268), "", IF(SUMIFS('Annotated Papers'!G:G, 'Annotated Papers'!A:A,A268)&gt;0,1,0))</f>
        <v>0</v>
      </c>
      <c r="F268">
        <f ca="1">IF(ISBLANK(A268), "", IF(SUMIFS('Annotated Papers'!H:H, 'Annotated Papers'!A:A,A268)&gt;0,1,0))</f>
        <v>1</v>
      </c>
      <c r="G268" t="e">
        <f ca="1">IF(ISBLANK(A268), "", IF(SUMIFS('Annotated Papers'!I:I, 'Annotated Papers'!A:A,A268)&gt;0,1,0))</f>
        <v>#NAME?</v>
      </c>
      <c r="H268">
        <f ca="1">IF(ISBLANK(A268), "", IF(SUMIFS('Annotated Papers'!L:L, 'Annotated Papers'!A:A,A268)&gt;0,1,0))</f>
        <v>0</v>
      </c>
    </row>
    <row r="269" spans="1:8" ht="14">
      <c r="A269" s="25" t="str">
        <f ca="1">IFERROR(__xludf.DUMMYFUNCTION("""COMPUTED_VALUE"""),"Hierarchical Representations for Efficient Architecture Search")</f>
        <v>Hierarchical Representations for Efficient Architecture Search</v>
      </c>
      <c r="B269" t="str">
        <f ca="1">IF(ISBLANK(A269), "", VLOOKUP(A269,'Annotated Papers'!268:1307,2,FALSE))</f>
        <v>General</v>
      </c>
      <c r="C269" s="24">
        <f ca="1">IF(ISBLANK(A269), "", VLOOKUP(A269,'Annotated Papers'!268:1307,5,FALSE))</f>
        <v>0</v>
      </c>
      <c r="D269">
        <f ca="1">IF(ISBLANK(A269), "", IF(COUNTIF('Annotated Papers'!A:A,A269)&gt;1,1,0))</f>
        <v>0</v>
      </c>
      <c r="E269">
        <f ca="1">IF(ISBLANK(A269), "", IF(SUMIFS('Annotated Papers'!G:G, 'Annotated Papers'!A:A,A269)&gt;0,1,0))</f>
        <v>0</v>
      </c>
      <c r="F269">
        <f ca="1">IF(ISBLANK(A269), "", IF(SUMIFS('Annotated Papers'!H:H, 'Annotated Papers'!A:A,A269)&gt;0,1,0))</f>
        <v>1</v>
      </c>
      <c r="G269">
        <f ca="1">IF(ISBLANK(A269), "", IF(SUMIFS('Annotated Papers'!I:I, 'Annotated Papers'!A:A,A269)&gt;0,1,0))</f>
        <v>0</v>
      </c>
      <c r="H269">
        <f ca="1">IF(ISBLANK(A269), "", IF(SUMIFS('Annotated Papers'!L:L, 'Annotated Papers'!A:A,A269)&gt;0,1,0))</f>
        <v>1</v>
      </c>
    </row>
    <row r="270" spans="1:8" ht="14">
      <c r="A270" s="25" t="str">
        <f ca="1">IFERROR(__xludf.DUMMYFUNCTION("""COMPUTED_VALUE"""),"Continuous Adaptation via Meta-Learning in Nonstationary and Competitive Environments")</f>
        <v>Continuous Adaptation via Meta-Learning in Nonstationary and Competitive Environments</v>
      </c>
      <c r="B270" t="str">
        <f ca="1">IF(ISBLANK(A270), "", VLOOKUP(A270,'Annotated Papers'!269:1308,2,FALSE))</f>
        <v>General</v>
      </c>
      <c r="C270" s="24">
        <f ca="1">IF(ISBLANK(A270), "", VLOOKUP(A270,'Annotated Papers'!269:1308,5,FALSE))</f>
        <v>1</v>
      </c>
      <c r="D270">
        <f ca="1">IF(ISBLANK(A270), "", IF(COUNTIF('Annotated Papers'!A:A,A270)&gt;1,1,0))</f>
        <v>0</v>
      </c>
      <c r="E270">
        <f ca="1">IF(ISBLANK(A270), "", IF(SUMIFS('Annotated Papers'!G:G, 'Annotated Papers'!A:A,A270)&gt;0,1,0))</f>
        <v>0</v>
      </c>
      <c r="F270">
        <f ca="1">IF(ISBLANK(A270), "", IF(SUMIFS('Annotated Papers'!H:H, 'Annotated Papers'!A:A,A270)&gt;0,1,0))</f>
        <v>1</v>
      </c>
      <c r="G270" t="e">
        <f ca="1">IF(ISBLANK(A270), "", IF(SUMIFS('Annotated Papers'!I:I, 'Annotated Papers'!A:A,A270)&gt;0,1,0))</f>
        <v>#NAME?</v>
      </c>
      <c r="H270">
        <f ca="1">IF(ISBLANK(A270), "", IF(SUMIFS('Annotated Papers'!L:L, 'Annotated Papers'!A:A,A270)&gt;0,1,0))</f>
        <v>1</v>
      </c>
    </row>
    <row r="271" spans="1:8" ht="14">
      <c r="A271" s="25" t="str">
        <f ca="1">IFERROR(__xludf.DUMMYFUNCTION("""COMPUTED_VALUE"""),"Compressing Word Embeddings via Deep Compositional Code Learning")</f>
        <v>Compressing Word Embeddings via Deep Compositional Code Learning</v>
      </c>
      <c r="B271" t="str">
        <f ca="1">IF(ISBLANK(A271), "", VLOOKUP(A271,'Annotated Papers'!270:1309,2,FALSE))</f>
        <v>General</v>
      </c>
      <c r="C271" s="24">
        <f ca="1">IF(ISBLANK(A271), "", VLOOKUP(A271,'Annotated Papers'!270:1309,5,FALSE))</f>
        <v>1</v>
      </c>
      <c r="D271">
        <f ca="1">IF(ISBLANK(A271), "", IF(COUNTIF('Annotated Papers'!A:A,A271)&gt;1,1,0))</f>
        <v>0</v>
      </c>
      <c r="E271">
        <f ca="1">IF(ISBLANK(A271), "", IF(SUMIFS('Annotated Papers'!G:G, 'Annotated Papers'!A:A,A271)&gt;0,1,0))</f>
        <v>0</v>
      </c>
      <c r="F271">
        <f ca="1">IF(ISBLANK(A271), "", IF(SUMIFS('Annotated Papers'!H:H, 'Annotated Papers'!A:A,A271)&gt;0,1,0))</f>
        <v>1</v>
      </c>
      <c r="G271" t="e">
        <f ca="1">IF(ISBLANK(A271), "", IF(SUMIFS('Annotated Papers'!I:I, 'Annotated Papers'!A:A,A271)&gt;0,1,0))</f>
        <v>#NAME?</v>
      </c>
      <c r="H271">
        <f ca="1">IF(ISBLANK(A271), "", IF(SUMIFS('Annotated Papers'!L:L, 'Annotated Papers'!A:A,A271)&gt;0,1,0))</f>
        <v>0</v>
      </c>
    </row>
    <row r="272" spans="1:8" ht="14">
      <c r="A272" s="25" t="str">
        <f ca="1">IFERROR(__xludf.DUMMYFUNCTION("""COMPUTED_VALUE"""),"Algorithms for Trip-Vehicle Assignment in Ride-Sharing")</f>
        <v>Algorithms for Trip-Vehicle Assignment in Ride-Sharing</v>
      </c>
      <c r="B272" t="str">
        <f ca="1">IF(ISBLANK(A272), "", VLOOKUP(A272,'Annotated Papers'!271:1310,2,FALSE))</f>
        <v>General</v>
      </c>
      <c r="C272" s="24">
        <f ca="1">IF(ISBLANK(A272), "", VLOOKUP(A272,'Annotated Papers'!271:1310,5,FALSE))</f>
        <v>0</v>
      </c>
      <c r="D272">
        <f ca="1">IF(ISBLANK(A272), "", IF(COUNTIF('Annotated Papers'!A:A,A272)&gt;1,1,0))</f>
        <v>0</v>
      </c>
      <c r="E272">
        <f ca="1">IF(ISBLANK(A272), "", IF(SUMIFS('Annotated Papers'!G:G, 'Annotated Papers'!A:A,A272)&gt;0,1,0))</f>
        <v>0</v>
      </c>
      <c r="F272">
        <f ca="1">IF(ISBLANK(A272), "", IF(SUMIFS('Annotated Papers'!H:H, 'Annotated Papers'!A:A,A272)&gt;0,1,0))</f>
        <v>1</v>
      </c>
      <c r="G272" t="e">
        <f ca="1">IF(ISBLANK(A272), "", IF(SUMIFS('Annotated Papers'!I:I, 'Annotated Papers'!A:A,A272)&gt;0,1,0))</f>
        <v>#NAME?</v>
      </c>
      <c r="H272">
        <f ca="1">IF(ISBLANK(A272), "", IF(SUMIFS('Annotated Papers'!L:L, 'Annotated Papers'!A:A,A272)&gt;0,1,0))</f>
        <v>0</v>
      </c>
    </row>
    <row r="273" spans="1:8" ht="14">
      <c r="A273" s="25" t="str">
        <f ca="1">IFERROR(__xludf.DUMMYFUNCTION("""COMPUTED_VALUE"""),"EAD: Elastic-Net Attacks to Deep Neural Networks via Adversarial Examples")</f>
        <v>EAD: Elastic-Net Attacks to Deep Neural Networks via Adversarial Examples</v>
      </c>
      <c r="B273" t="str">
        <f ca="1">IF(ISBLANK(A273), "", VLOOKUP(A273,'Annotated Papers'!272:1311,2,FALSE))</f>
        <v>General</v>
      </c>
      <c r="C273" s="24">
        <f ca="1">IF(ISBLANK(A273), "", VLOOKUP(A273,'Annotated Papers'!272:1311,5,FALSE))</f>
        <v>1</v>
      </c>
      <c r="D273">
        <f ca="1">IF(ISBLANK(A273), "", IF(COUNTIF('Annotated Papers'!A:A,A273)&gt;1,1,0))</f>
        <v>1</v>
      </c>
      <c r="E273">
        <f ca="1">IF(ISBLANK(A273), "", IF(SUMIFS('Annotated Papers'!G:G, 'Annotated Papers'!A:A,A273)&gt;0,1,0))</f>
        <v>0</v>
      </c>
      <c r="F273">
        <f ca="1">IF(ISBLANK(A273), "", IF(SUMIFS('Annotated Papers'!H:H, 'Annotated Papers'!A:A,A273)&gt;0,1,0))</f>
        <v>1</v>
      </c>
      <c r="G273" t="e">
        <f ca="1">IF(ISBLANK(A273), "", IF(SUMIFS('Annotated Papers'!I:I, 'Annotated Papers'!A:A,A273)&gt;0,1,0))</f>
        <v>#NAME?</v>
      </c>
      <c r="H273">
        <f ca="1">IF(ISBLANK(A273), "", IF(SUMIFS('Annotated Papers'!L:L, 'Annotated Papers'!A:A,A273)&gt;0,1,0))</f>
        <v>0</v>
      </c>
    </row>
    <row r="274" spans="1:8" ht="14">
      <c r="A274" s="25" t="str">
        <f ca="1">IFERROR(__xludf.DUMMYFUNCTION("""COMPUTED_VALUE"""),"Learning Differences between Visual Scanning Patterns Can Disambiguate Bipolar and Unipolar Patients")</f>
        <v>Learning Differences between Visual Scanning Patterns Can Disambiguate Bipolar and Unipolar Patients</v>
      </c>
      <c r="B274" t="str">
        <f ca="1">IF(ISBLANK(A274), "", VLOOKUP(A274,'Annotated Papers'!273:1312,2,FALSE))</f>
        <v>General</v>
      </c>
      <c r="C274" s="24">
        <f ca="1">IF(ISBLANK(A274), "", VLOOKUP(A274,'Annotated Papers'!273:1312,5,FALSE))</f>
        <v>0</v>
      </c>
      <c r="D274">
        <f ca="1">IF(ISBLANK(A274), "", IF(COUNTIF('Annotated Papers'!A:A,A274)&gt;1,1,0))</f>
        <v>0</v>
      </c>
      <c r="E274">
        <f ca="1">IF(ISBLANK(A274), "", IF(SUMIFS('Annotated Papers'!G:G, 'Annotated Papers'!A:A,A274)&gt;0,1,0))</f>
        <v>1</v>
      </c>
      <c r="F274">
        <f ca="1">IF(ISBLANK(A274), "", IF(SUMIFS('Annotated Papers'!H:H, 'Annotated Papers'!A:A,A274)&gt;0,1,0))</f>
        <v>0</v>
      </c>
      <c r="G274" t="e">
        <f ca="1">IF(ISBLANK(A274), "", IF(SUMIFS('Annotated Papers'!I:I, 'Annotated Papers'!A:A,A274)&gt;0,1,0))</f>
        <v>#NAME?</v>
      </c>
      <c r="H274">
        <f ca="1">IF(ISBLANK(A274), "", IF(SUMIFS('Annotated Papers'!L:L, 'Annotated Papers'!A:A,A274)&gt;0,1,0))</f>
        <v>0</v>
      </c>
    </row>
    <row r="275" spans="1:8" ht="14">
      <c r="A275" s="25" t="str">
        <f ca="1">IFERROR(__xludf.DUMMYFUNCTION("""COMPUTED_VALUE"""),"Comparing Population Means under Local Differential Privacy: with Significance and Power")</f>
        <v>Comparing Population Means under Local Differential Privacy: with Significance and Power</v>
      </c>
      <c r="B275" t="str">
        <f ca="1">IF(ISBLANK(A275), "", VLOOKUP(A275,'Annotated Papers'!274:1313,2,FALSE))</f>
        <v>General</v>
      </c>
      <c r="C275" s="24">
        <f ca="1">IF(ISBLANK(A275), "", VLOOKUP(A275,'Annotated Papers'!274:1313,5,FALSE))</f>
        <v>0</v>
      </c>
      <c r="D275">
        <f ca="1">IF(ISBLANK(A275), "", IF(COUNTIF('Annotated Papers'!A:A,A275)&gt;1,1,0))</f>
        <v>0</v>
      </c>
      <c r="E275">
        <f ca="1">IF(ISBLANK(A275), "", IF(SUMIFS('Annotated Papers'!G:G, 'Annotated Papers'!A:A,A275)&gt;0,1,0))</f>
        <v>0</v>
      </c>
      <c r="F275">
        <f ca="1">IF(ISBLANK(A275), "", IF(SUMIFS('Annotated Papers'!H:H, 'Annotated Papers'!A:A,A275)&gt;0,1,0))</f>
        <v>0</v>
      </c>
      <c r="G275" t="e">
        <f ca="1">IF(ISBLANK(A275), "", IF(SUMIFS('Annotated Papers'!I:I, 'Annotated Papers'!A:A,A275)&gt;0,1,0))</f>
        <v>#NAME?</v>
      </c>
      <c r="H275">
        <f ca="1">IF(ISBLANK(A275), "", IF(SUMIFS('Annotated Papers'!L:L, 'Annotated Papers'!A:A,A275)&gt;0,1,0))</f>
        <v>1</v>
      </c>
    </row>
    <row r="276" spans="1:8" ht="14">
      <c r="A276" s="26" t="str">
        <f ca="1">IFERROR(__xludf.DUMMYFUNCTION("""COMPUTED_VALUE"""),"Document Embedding Enhanced Event Detection with Hierarchical and Supervised Attention")</f>
        <v>Document Embedding Enhanced Event Detection with Hierarchical and Supervised Attention</v>
      </c>
      <c r="B276" t="str">
        <f ca="1">IF(ISBLANK(A276), "", VLOOKUP(A276,'Annotated Papers'!275:1314,2,FALSE))</f>
        <v>NLP</v>
      </c>
      <c r="C276" s="24">
        <f ca="1">IF(ISBLANK(A276), "", VLOOKUP(A276,'Annotated Papers'!275:1314,5,FALSE))</f>
        <v>0</v>
      </c>
      <c r="D276">
        <f ca="1">IF(ISBLANK(A276), "", IF(COUNTIF('Annotated Papers'!A:A,A276)&gt;1,1,0))</f>
        <v>0</v>
      </c>
      <c r="E276">
        <f ca="1">IF(ISBLANK(A276), "", IF(SUMIFS('Annotated Papers'!G:G, 'Annotated Papers'!A:A,A276)&gt;0,1,0))</f>
        <v>0</v>
      </c>
      <c r="F276">
        <f ca="1">IF(ISBLANK(A276), "", IF(SUMIFS('Annotated Papers'!H:H, 'Annotated Papers'!A:A,A276)&gt;0,1,0))</f>
        <v>1</v>
      </c>
      <c r="G276" t="e">
        <f ca="1">IF(ISBLANK(A276), "", IF(SUMIFS('Annotated Papers'!I:I, 'Annotated Papers'!A:A,A276)&gt;0,1,0))</f>
        <v>#NAME?</v>
      </c>
      <c r="H276">
        <f ca="1">IF(ISBLANK(A276), "", IF(SUMIFS('Annotated Papers'!L:L, 'Annotated Papers'!A:A,A276)&gt;0,1,0))</f>
        <v>0</v>
      </c>
    </row>
    <row r="277" spans="1:8" ht="14">
      <c r="A277" s="26" t="str">
        <f ca="1">IFERROR(__xludf.DUMMYFUNCTION("""COMPUTED_VALUE"""),"Chinese NER Using Lattice LSTM")</f>
        <v>Chinese NER Using Lattice LSTM</v>
      </c>
      <c r="B277" t="str">
        <f ca="1">IF(ISBLANK(A277), "", VLOOKUP(A277,'Annotated Papers'!276:1315,2,FALSE))</f>
        <v>NLP</v>
      </c>
      <c r="C277" s="24">
        <f ca="1">IF(ISBLANK(A277), "", VLOOKUP(A277,'Annotated Papers'!276:1315,5,FALSE))</f>
        <v>1</v>
      </c>
      <c r="D277">
        <f ca="1">IF(ISBLANK(A277), "", IF(COUNTIF('Annotated Papers'!A:A,A277)&gt;1,1,0))</f>
        <v>1</v>
      </c>
      <c r="E277">
        <f ca="1">IF(ISBLANK(A277), "", IF(SUMIFS('Annotated Papers'!G:G, 'Annotated Papers'!A:A,A277)&gt;0,1,0))</f>
        <v>0</v>
      </c>
      <c r="F277">
        <f ca="1">IF(ISBLANK(A277), "", IF(SUMIFS('Annotated Papers'!H:H, 'Annotated Papers'!A:A,A277)&gt;0,1,0))</f>
        <v>1</v>
      </c>
      <c r="G277" t="e">
        <f ca="1">IF(ISBLANK(A277), "", IF(SUMIFS('Annotated Papers'!I:I, 'Annotated Papers'!A:A,A277)&gt;0,1,0))</f>
        <v>#NAME?</v>
      </c>
      <c r="H277">
        <f ca="1">IF(ISBLANK(A277), "", IF(SUMIFS('Annotated Papers'!L:L, 'Annotated Papers'!A:A,A277)&gt;0,1,0))</f>
        <v>0</v>
      </c>
    </row>
    <row r="278" spans="1:8" ht="14">
      <c r="A278" s="26" t="str">
        <f ca="1">IFERROR(__xludf.DUMMYFUNCTION("""COMPUTED_VALUE"""),"Finding Syntax in Human Encephalography with Beam Search")</f>
        <v>Finding Syntax in Human Encephalography with Beam Search</v>
      </c>
      <c r="B278" t="str">
        <f ca="1">IF(ISBLANK(A278), "", VLOOKUP(A278,'Annotated Papers'!277:1316,2,FALSE))</f>
        <v>NLP</v>
      </c>
      <c r="C278" s="24">
        <f ca="1">IF(ISBLANK(A278), "", VLOOKUP(A278,'Annotated Papers'!277:1316,5,FALSE))</f>
        <v>0</v>
      </c>
      <c r="D278">
        <f ca="1">IF(ISBLANK(A278), "", IF(COUNTIF('Annotated Papers'!A:A,A278)&gt;1,1,0))</f>
        <v>1</v>
      </c>
      <c r="E278">
        <f ca="1">IF(ISBLANK(A278), "", IF(SUMIFS('Annotated Papers'!G:G, 'Annotated Papers'!A:A,A278)&gt;0,1,0))</f>
        <v>0</v>
      </c>
      <c r="F278">
        <f ca="1">IF(ISBLANK(A278), "", IF(SUMIFS('Annotated Papers'!H:H, 'Annotated Papers'!A:A,A278)&gt;0,1,0))</f>
        <v>1</v>
      </c>
      <c r="G278" t="e">
        <f ca="1">IF(ISBLANK(A278), "", IF(SUMIFS('Annotated Papers'!I:I, 'Annotated Papers'!A:A,A278)&gt;0,1,0))</f>
        <v>#NAME?</v>
      </c>
      <c r="H278">
        <f ca="1">IF(ISBLANK(A278), "", IF(SUMIFS('Annotated Papers'!L:L, 'Annotated Papers'!A:A,A278)&gt;0,1,0))</f>
        <v>1</v>
      </c>
    </row>
    <row r="279" spans="1:8" ht="14">
      <c r="A279" s="26" t="str">
        <f ca="1">IFERROR(__xludf.DUMMYFUNCTION("""COMPUTED_VALUE"""),"Query and Output: Generating Words by Querying Distributed Word
Representations for Paraphrase Generation")</f>
        <v>Query and Output: Generating Words by Querying Distributed Word
Representations for Paraphrase Generation</v>
      </c>
      <c r="B279" t="str">
        <f ca="1">IF(ISBLANK(A279), "", VLOOKUP(A279,'Annotated Papers'!278:1317,2,FALSE))</f>
        <v>NLP</v>
      </c>
      <c r="C279" s="24">
        <f ca="1">IF(ISBLANK(A279), "", VLOOKUP(A279,'Annotated Papers'!278:1317,5,FALSE))</f>
        <v>1</v>
      </c>
      <c r="D279">
        <f ca="1">IF(ISBLANK(A279), "", IF(COUNTIF('Annotated Papers'!A:A,A279)&gt;1,1,0))</f>
        <v>1</v>
      </c>
      <c r="E279">
        <f ca="1">IF(ISBLANK(A279), "", IF(SUMIFS('Annotated Papers'!G:G, 'Annotated Papers'!A:A,A279)&gt;0,1,0))</f>
        <v>0</v>
      </c>
      <c r="F279">
        <f ca="1">IF(ISBLANK(A279), "", IF(SUMIFS('Annotated Papers'!H:H, 'Annotated Papers'!A:A,A279)&gt;0,1,0))</f>
        <v>1</v>
      </c>
      <c r="G279" t="e">
        <f ca="1">IF(ISBLANK(A279), "", IF(SUMIFS('Annotated Papers'!I:I, 'Annotated Papers'!A:A,A279)&gt;0,1,0))</f>
        <v>#NAME?</v>
      </c>
      <c r="H279">
        <f ca="1">IF(ISBLANK(A279), "", IF(SUMIFS('Annotated Papers'!L:L, 'Annotated Papers'!A:A,A279)&gt;0,1,0))</f>
        <v>0</v>
      </c>
    </row>
    <row r="280" spans="1:8" ht="14">
      <c r="A280" s="26" t="str">
        <f ca="1">IFERROR(__xludf.DUMMYFUNCTION("""COMPUTED_VALUE"""),"Simplification Using Paraphrases
and Context-based Lexical Substitution")</f>
        <v>Simplification Using Paraphrases
and Context-based Lexical Substitution</v>
      </c>
      <c r="B280" t="str">
        <f ca="1">IF(ISBLANK(A280), "", VLOOKUP(A280,'Annotated Papers'!279:1318,2,FALSE))</f>
        <v>NLP</v>
      </c>
      <c r="C280" s="24">
        <f ca="1">IF(ISBLANK(A280), "", VLOOKUP(A280,'Annotated Papers'!279:1318,5,FALSE))</f>
        <v>1</v>
      </c>
      <c r="D280">
        <f ca="1">IF(ISBLANK(A280), "", IF(COUNTIF('Annotated Papers'!A:A,A280)&gt;1,1,0))</f>
        <v>1</v>
      </c>
      <c r="E280">
        <f ca="1">IF(ISBLANK(A280), "", IF(SUMIFS('Annotated Papers'!G:G, 'Annotated Papers'!A:A,A280)&gt;0,1,0))</f>
        <v>0</v>
      </c>
      <c r="F280">
        <f ca="1">IF(ISBLANK(A280), "", IF(SUMIFS('Annotated Papers'!H:H, 'Annotated Papers'!A:A,A280)&gt;0,1,0))</f>
        <v>1</v>
      </c>
      <c r="G280" t="e">
        <f ca="1">IF(ISBLANK(A280), "", IF(SUMIFS('Annotated Papers'!I:I, 'Annotated Papers'!A:A,A280)&gt;0,1,0))</f>
        <v>#NAME?</v>
      </c>
      <c r="H280">
        <f ca="1">IF(ISBLANK(A280), "", IF(SUMIFS('Annotated Papers'!L:L, 'Annotated Papers'!A:A,A280)&gt;0,1,0))</f>
        <v>0</v>
      </c>
    </row>
    <row r="281" spans="1:8" ht="14">
      <c r="A281" s="26" t="str">
        <f ca="1">IFERROR(__xludf.DUMMYFUNCTION("""COMPUTED_VALUE"""),"Zero-Shot Question Generation from Knowledge Graphs for Unseen
Predicates and Entity Types")</f>
        <v>Zero-Shot Question Generation from Knowledge Graphs for Unseen
Predicates and Entity Types</v>
      </c>
      <c r="B281" t="str">
        <f ca="1">IF(ISBLANK(A281), "", VLOOKUP(A281,'Annotated Papers'!280:1319,2,FALSE))</f>
        <v>NLP</v>
      </c>
      <c r="C281" s="24">
        <f ca="1">IF(ISBLANK(A281), "", VLOOKUP(A281,'Annotated Papers'!280:1319,5,FALSE))</f>
        <v>1</v>
      </c>
      <c r="D281">
        <f ca="1">IF(ISBLANK(A281), "", IF(COUNTIF('Annotated Papers'!A:A,A281)&gt;1,1,0))</f>
        <v>1</v>
      </c>
      <c r="E281">
        <f ca="1">IF(ISBLANK(A281), "", IF(SUMIFS('Annotated Papers'!G:G, 'Annotated Papers'!A:A,A281)&gt;0,1,0))</f>
        <v>0</v>
      </c>
      <c r="F281">
        <f ca="1">IF(ISBLANK(A281), "", IF(SUMIFS('Annotated Papers'!H:H, 'Annotated Papers'!A:A,A281)&gt;0,1,0))</f>
        <v>1</v>
      </c>
      <c r="G281" t="e">
        <f ca="1">IF(ISBLANK(A281), "", IF(SUMIFS('Annotated Papers'!I:I, 'Annotated Papers'!A:A,A281)&gt;0,1,0))</f>
        <v>#NAME?</v>
      </c>
      <c r="H281">
        <f ca="1">IF(ISBLANK(A281), "", IF(SUMIFS('Annotated Papers'!L:L, 'Annotated Papers'!A:A,A281)&gt;0,1,0))</f>
        <v>1</v>
      </c>
    </row>
    <row r="282" spans="1:8" ht="14">
      <c r="A282" s="25" t="str">
        <f ca="1">IFERROR(__xludf.DUMMYFUNCTION("""COMPUTED_VALUE"""),"Decomposition of Uncertainty in Bayesian Deep Learning for Efficient and Risk-sensitive Learning")</f>
        <v>Decomposition of Uncertainty in Bayesian Deep Learning for Efficient and Risk-sensitive Learning</v>
      </c>
      <c r="B282" t="str">
        <f ca="1">IF(ISBLANK(A282), "", VLOOKUP(A282,'Annotated Papers'!281:1320,2,FALSE))</f>
        <v>General</v>
      </c>
      <c r="C282" s="24">
        <f ca="1">IF(ISBLANK(A282), "", VLOOKUP(A282,'Annotated Papers'!281:1320,5,FALSE))</f>
        <v>0</v>
      </c>
      <c r="D282">
        <f ca="1">IF(ISBLANK(A282), "", IF(COUNTIF('Annotated Papers'!A:A,A282)&gt;1,1,0))</f>
        <v>1</v>
      </c>
      <c r="E282">
        <f ca="1">IF(ISBLANK(A282), "", IF(SUMIFS('Annotated Papers'!G:G, 'Annotated Papers'!A:A,A282)&gt;0,1,0))</f>
        <v>0</v>
      </c>
      <c r="F282">
        <f ca="1">IF(ISBLANK(A282), "", IF(SUMIFS('Annotated Papers'!H:H, 'Annotated Papers'!A:A,A282)&gt;0,1,0))</f>
        <v>1</v>
      </c>
      <c r="G282" t="e">
        <f ca="1">IF(ISBLANK(A282), "", IF(SUMIFS('Annotated Papers'!I:I, 'Annotated Papers'!A:A,A282)&gt;0,1,0))</f>
        <v>#NAME?</v>
      </c>
      <c r="H282">
        <f ca="1">IF(ISBLANK(A282), "", IF(SUMIFS('Annotated Papers'!L:L, 'Annotated Papers'!A:A,A282)&gt;0,1,0))</f>
        <v>1</v>
      </c>
    </row>
    <row r="283" spans="1:8" ht="14">
      <c r="A283" s="25" t="str">
        <f ca="1">IFERROR(__xludf.DUMMYFUNCTION("""COMPUTED_VALUE"""),"Large-Scale Cox Process Inference using Variational Fourier Features")</f>
        <v>Large-Scale Cox Process Inference using Variational Fourier Features</v>
      </c>
      <c r="B283" t="str">
        <f ca="1">IF(ISBLANK(A283), "", VLOOKUP(A283,'Annotated Papers'!282:1321,2,FALSE))</f>
        <v>General</v>
      </c>
      <c r="C283" s="24">
        <f ca="1">IF(ISBLANK(A283), "", VLOOKUP(A283,'Annotated Papers'!282:1321,5,FALSE))</f>
        <v>0</v>
      </c>
      <c r="D283">
        <f ca="1">IF(ISBLANK(A283), "", IF(COUNTIF('Annotated Papers'!A:A,A283)&gt;1,1,0))</f>
        <v>1</v>
      </c>
      <c r="E283">
        <f ca="1">IF(ISBLANK(A283), "", IF(SUMIFS('Annotated Papers'!G:G, 'Annotated Papers'!A:A,A283)&gt;0,1,0))</f>
        <v>0</v>
      </c>
      <c r="F283">
        <f ca="1">IF(ISBLANK(A283), "", IF(SUMIFS('Annotated Papers'!H:H, 'Annotated Papers'!A:A,A283)&gt;0,1,0))</f>
        <v>1</v>
      </c>
      <c r="G283" t="e">
        <f ca="1">IF(ISBLANK(A283), "", IF(SUMIFS('Annotated Papers'!I:I, 'Annotated Papers'!A:A,A283)&gt;0,1,0))</f>
        <v>#NAME?</v>
      </c>
      <c r="H283">
        <f ca="1">IF(ISBLANK(A283), "", IF(SUMIFS('Annotated Papers'!L:L, 'Annotated Papers'!A:A,A283)&gt;0,1,0))</f>
        <v>1</v>
      </c>
    </row>
    <row r="284" spans="1:8" ht="14">
      <c r="A284" s="25" t="str">
        <f ca="1">IFERROR(__xludf.DUMMYFUNCTION("""COMPUTED_VALUE"""),"Predict and Constrain: Modeling Cardinality in Deep Structured Prediction")</f>
        <v>Predict and Constrain: Modeling Cardinality in Deep Structured Prediction</v>
      </c>
      <c r="B284" t="str">
        <f ca="1">IF(ISBLANK(A284), "", VLOOKUP(A284,'Annotated Papers'!283:1322,2,FALSE))</f>
        <v>General</v>
      </c>
      <c r="C284" s="24">
        <f ca="1">IF(ISBLANK(A284), "", VLOOKUP(A284,'Annotated Papers'!283:1322,5,FALSE))</f>
        <v>0</v>
      </c>
      <c r="D284">
        <f ca="1">IF(ISBLANK(A284), "", IF(COUNTIF('Annotated Papers'!A:A,A284)&gt;1,1,0))</f>
        <v>1</v>
      </c>
      <c r="E284">
        <f ca="1">IF(ISBLANK(A284), "", IF(SUMIFS('Annotated Papers'!G:G, 'Annotated Papers'!A:A,A284)&gt;0,1,0))</f>
        <v>0</v>
      </c>
      <c r="F284">
        <f ca="1">IF(ISBLANK(A284), "", IF(SUMIFS('Annotated Papers'!H:H, 'Annotated Papers'!A:A,A284)&gt;0,1,0))</f>
        <v>1</v>
      </c>
      <c r="G284" t="e">
        <f ca="1">IF(ISBLANK(A284), "", IF(SUMIFS('Annotated Papers'!I:I, 'Annotated Papers'!A:A,A284)&gt;0,1,0))</f>
        <v>#NAME?</v>
      </c>
      <c r="H284">
        <f ca="1">IF(ISBLANK(A284), "", IF(SUMIFS('Annotated Papers'!L:L, 'Annotated Papers'!A:A,A284)&gt;0,1,0))</f>
        <v>0</v>
      </c>
    </row>
    <row r="285" spans="1:8" ht="14">
      <c r="A285" s="25" t="str">
        <f ca="1">IFERROR(__xludf.DUMMYFUNCTION("""COMPUTED_VALUE"""),"Local Convergence Properties of SAGA/Prox-SVRG and Acceleration")</f>
        <v>Local Convergence Properties of SAGA/Prox-SVRG and Acceleration</v>
      </c>
      <c r="B285" t="str">
        <f ca="1">IF(ISBLANK(A285), "", VLOOKUP(A285,'Annotated Papers'!284:1323,2,FALSE))</f>
        <v>General</v>
      </c>
      <c r="C285" s="24">
        <f ca="1">IF(ISBLANK(A285), "", VLOOKUP(A285,'Annotated Papers'!284:1323,5,FALSE))</f>
        <v>1</v>
      </c>
      <c r="D285">
        <f ca="1">IF(ISBLANK(A285), "", IF(COUNTIF('Annotated Papers'!A:A,A285)&gt;1,1,0))</f>
        <v>1</v>
      </c>
      <c r="E285">
        <f ca="1">IF(ISBLANK(A285), "", IF(SUMIFS('Annotated Papers'!G:G, 'Annotated Papers'!A:A,A285)&gt;0,1,0))</f>
        <v>0</v>
      </c>
      <c r="F285">
        <f ca="1">IF(ISBLANK(A285), "", IF(SUMIFS('Annotated Papers'!H:H, 'Annotated Papers'!A:A,A285)&gt;0,1,0))</f>
        <v>1</v>
      </c>
      <c r="G285" t="e">
        <f ca="1">IF(ISBLANK(A285), "", IF(SUMIFS('Annotated Papers'!I:I, 'Annotated Papers'!A:A,A285)&gt;0,1,0))</f>
        <v>#NAME?</v>
      </c>
      <c r="H285">
        <f ca="1">IF(ISBLANK(A285), "", IF(SUMIFS('Annotated Papers'!L:L, 'Annotated Papers'!A:A,A285)&gt;0,1,0))</f>
        <v>0</v>
      </c>
    </row>
    <row r="286" spans="1:8" ht="14">
      <c r="A286" s="25" t="str">
        <f ca="1">IFERROR(__xludf.DUMMYFUNCTION("""COMPUTED_VALUE"""),"MuseGAN: Multi-track Sequential Generative Adversarial Networks for Symbolic Music Generation and Accompaniment")</f>
        <v>MuseGAN: Multi-track Sequential Generative Adversarial Networks for Symbolic Music Generation and Accompaniment</v>
      </c>
      <c r="B286" t="str">
        <f ca="1">IF(ISBLANK(A286), "", VLOOKUP(A286,'Annotated Papers'!285:1324,2,FALSE))</f>
        <v>General</v>
      </c>
      <c r="C286" s="24">
        <f ca="1">IF(ISBLANK(A286), "", VLOOKUP(A286,'Annotated Papers'!285:1324,5,FALSE))</f>
        <v>1</v>
      </c>
      <c r="D286">
        <f ca="1">IF(ISBLANK(A286), "", IF(COUNTIF('Annotated Papers'!A:A,A286)&gt;1,1,0))</f>
        <v>0</v>
      </c>
      <c r="E286">
        <f ca="1">IF(ISBLANK(A286), "", IF(SUMIFS('Annotated Papers'!G:G, 'Annotated Papers'!A:A,A286)&gt;0,1,0))</f>
        <v>0</v>
      </c>
      <c r="F286">
        <f ca="1">IF(ISBLANK(A286), "", IF(SUMIFS('Annotated Papers'!H:H, 'Annotated Papers'!A:A,A286)&gt;0,1,0))</f>
        <v>1</v>
      </c>
      <c r="G286" t="e">
        <f ca="1">IF(ISBLANK(A286), "", IF(SUMIFS('Annotated Papers'!I:I, 'Annotated Papers'!A:A,A286)&gt;0,1,0))</f>
        <v>#NAME?</v>
      </c>
      <c r="H286">
        <f ca="1">IF(ISBLANK(A286), "", IF(SUMIFS('Annotated Papers'!L:L, 'Annotated Papers'!A:A,A286)&gt;0,1,0))</f>
        <v>0</v>
      </c>
    </row>
    <row r="287" spans="1:8" ht="14">
      <c r="A287" s="25" t="str">
        <f ca="1">IFERROR(__xludf.DUMMYFUNCTION("""COMPUTED_VALUE"""),"Picasso, Matisse, or a Fake? Automated Analysis of Drawings at the Stroke Level for Attribution and Authentication")</f>
        <v>Picasso, Matisse, or a Fake? Automated Analysis of Drawings at the Stroke Level for Attribution and Authentication</v>
      </c>
      <c r="B287" t="str">
        <f ca="1">IF(ISBLANK(A287), "", VLOOKUP(A287,'Annotated Papers'!286:1325,2,FALSE))</f>
        <v>General</v>
      </c>
      <c r="C287" s="24">
        <f ca="1">IF(ISBLANK(A287), "", VLOOKUP(A287,'Annotated Papers'!286:1325,5,FALSE))</f>
        <v>0</v>
      </c>
      <c r="D287">
        <f ca="1">IF(ISBLANK(A287), "", IF(COUNTIF('Annotated Papers'!A:A,A287)&gt;1,1,0))</f>
        <v>0</v>
      </c>
      <c r="E287">
        <f ca="1">IF(ISBLANK(A287), "", IF(SUMIFS('Annotated Papers'!G:G, 'Annotated Papers'!A:A,A287)&gt;0,1,0))</f>
        <v>0</v>
      </c>
      <c r="F287">
        <f ca="1">IF(ISBLANK(A287), "", IF(SUMIFS('Annotated Papers'!H:H, 'Annotated Papers'!A:A,A287)&gt;0,1,0))</f>
        <v>0</v>
      </c>
      <c r="G287" t="e">
        <f ca="1">IF(ISBLANK(A287), "", IF(SUMIFS('Annotated Papers'!I:I, 'Annotated Papers'!A:A,A287)&gt;0,1,0))</f>
        <v>#NAME?</v>
      </c>
      <c r="H287">
        <f ca="1">IF(ISBLANK(A287), "", IF(SUMIFS('Annotated Papers'!L:L, 'Annotated Papers'!A:A,A287)&gt;0,1,0))</f>
        <v>0</v>
      </c>
    </row>
    <row r="288" spans="1:8" ht="14">
      <c r="A288" s="25" t="str">
        <f ca="1">IFERROR(__xludf.DUMMYFUNCTION("""COMPUTED_VALUE"""),"Learning Deep Structured Active Contours End-to-End")</f>
        <v>Learning Deep Structured Active Contours End-to-End</v>
      </c>
      <c r="B288" t="str">
        <f ca="1">IF(ISBLANK(A288), "", VLOOKUP(A288,'Annotated Papers'!287:1326,2,FALSE))</f>
        <v>CV</v>
      </c>
      <c r="C288" s="24">
        <f ca="1">IF(ISBLANK(A288), "", VLOOKUP(A288,'Annotated Papers'!287:1326,5,FALSE))</f>
        <v>1</v>
      </c>
      <c r="D288">
        <f ca="1">IF(ISBLANK(A288), "", IF(COUNTIF('Annotated Papers'!A:A,A288)&gt;1,1,0))</f>
        <v>1</v>
      </c>
      <c r="E288">
        <f ca="1">IF(ISBLANK(A288), "", IF(SUMIFS('Annotated Papers'!G:G, 'Annotated Papers'!A:A,A288)&gt;0,1,0))</f>
        <v>0</v>
      </c>
      <c r="F288">
        <f ca="1">IF(ISBLANK(A288), "", IF(SUMIFS('Annotated Papers'!H:H, 'Annotated Papers'!A:A,A288)&gt;0,1,0))</f>
        <v>1</v>
      </c>
      <c r="G288" t="e">
        <f ca="1">IF(ISBLANK(A288), "", IF(SUMIFS('Annotated Papers'!I:I, 'Annotated Papers'!A:A,A288)&gt;0,1,0))</f>
        <v>#NAME?</v>
      </c>
      <c r="H288">
        <f ca="1">IF(ISBLANK(A288), "", IF(SUMIFS('Annotated Papers'!L:L, 'Annotated Papers'!A:A,A288)&gt;0,1,0))</f>
        <v>0</v>
      </c>
    </row>
    <row r="289" spans="1:8" ht="14">
      <c r="A289" s="25" t="str">
        <f ca="1">IFERROR(__xludf.DUMMYFUNCTION("""COMPUTED_VALUE"""),"Beyond Distributive Fairness in Algorithmic Decision Making: Feature Selection for Procedurally Fair Learning")</f>
        <v>Beyond Distributive Fairness in Algorithmic Decision Making: Feature Selection for Procedurally Fair Learning</v>
      </c>
      <c r="B289" t="str">
        <f ca="1">IF(ISBLANK(A289), "", VLOOKUP(A289,'Annotated Papers'!288:1327,2,FALSE))</f>
        <v>General</v>
      </c>
      <c r="C289" s="24">
        <f ca="1">IF(ISBLANK(A289), "", VLOOKUP(A289,'Annotated Papers'!288:1327,5,FALSE))</f>
        <v>0</v>
      </c>
      <c r="D289">
        <f ca="1">IF(ISBLANK(A289), "", IF(COUNTIF('Annotated Papers'!A:A,A289)&gt;1,1,0))</f>
        <v>1</v>
      </c>
      <c r="E289">
        <f ca="1">IF(ISBLANK(A289), "", IF(SUMIFS('Annotated Papers'!G:G, 'Annotated Papers'!A:A,A289)&gt;0,1,0))</f>
        <v>0</v>
      </c>
      <c r="F289">
        <f ca="1">IF(ISBLANK(A289), "", IF(SUMIFS('Annotated Papers'!H:H, 'Annotated Papers'!A:A,A289)&gt;0,1,0))</f>
        <v>1</v>
      </c>
      <c r="G289" t="e">
        <f ca="1">IF(ISBLANK(A289), "", IF(SUMIFS('Annotated Papers'!I:I, 'Annotated Papers'!A:A,A289)&gt;0,1,0))</f>
        <v>#NAME?</v>
      </c>
      <c r="H289">
        <f ca="1">IF(ISBLANK(A289), "", IF(SUMIFS('Annotated Papers'!L:L, 'Annotated Papers'!A:A,A289)&gt;0,1,0))</f>
        <v>0</v>
      </c>
    </row>
    <row r="290" spans="1:8" ht="14">
      <c r="A290" s="25" t="str">
        <f ca="1">IFERROR(__xludf.DUMMYFUNCTION("""COMPUTED_VALUE"""),"Distributed Composite Quantization")</f>
        <v>Distributed Composite Quantization</v>
      </c>
      <c r="B290" t="str">
        <f ca="1">IF(ISBLANK(A290), "", VLOOKUP(A290,'Annotated Papers'!289:1328,2,FALSE))</f>
        <v>General</v>
      </c>
      <c r="C290" s="24">
        <f ca="1">IF(ISBLANK(A290), "", VLOOKUP(A290,'Annotated Papers'!289:1328,5,FALSE))</f>
        <v>0</v>
      </c>
      <c r="D290">
        <f ca="1">IF(ISBLANK(A290), "", IF(COUNTIF('Annotated Papers'!A:A,A290)&gt;1,1,0))</f>
        <v>1</v>
      </c>
      <c r="E290">
        <f ca="1">IF(ISBLANK(A290), "", IF(SUMIFS('Annotated Papers'!G:G, 'Annotated Papers'!A:A,A290)&gt;0,1,0))</f>
        <v>0</v>
      </c>
      <c r="F290">
        <f ca="1">IF(ISBLANK(A290), "", IF(SUMIFS('Annotated Papers'!H:H, 'Annotated Papers'!A:A,A290)&gt;0,1,0))</f>
        <v>1</v>
      </c>
      <c r="G290" t="e">
        <f ca="1">IF(ISBLANK(A290), "", IF(SUMIFS('Annotated Papers'!I:I, 'Annotated Papers'!A:A,A290)&gt;0,1,0))</f>
        <v>#NAME?</v>
      </c>
      <c r="H290">
        <f ca="1">IF(ISBLANK(A290), "", IF(SUMIFS('Annotated Papers'!L:L, 'Annotated Papers'!A:A,A290)&gt;0,1,0))</f>
        <v>0</v>
      </c>
    </row>
    <row r="291" spans="1:8" ht="14">
      <c r="A291" s="25" t="str">
        <f ca="1">IFERROR(__xludf.DUMMYFUNCTION("""COMPUTED_VALUE"""),"Resolving Abstract Anaphora in Conversational Assistants using a Hierarchically-stacked RNN")</f>
        <v>Resolving Abstract Anaphora in Conversational Assistants using a Hierarchically-stacked RNN</v>
      </c>
      <c r="B291" t="str">
        <f ca="1">IF(ISBLANK(A291), "", VLOOKUP(A291,'Annotated Papers'!290:1329,2,FALSE))</f>
        <v>General</v>
      </c>
      <c r="C291" s="24">
        <f ca="1">IF(ISBLANK(A291), "", VLOOKUP(A291,'Annotated Papers'!290:1329,5,FALSE))</f>
        <v>0</v>
      </c>
      <c r="D291">
        <f ca="1">IF(ISBLANK(A291), "", IF(COUNTIF('Annotated Papers'!A:A,A291)&gt;1,1,0))</f>
        <v>1</v>
      </c>
      <c r="E291">
        <f ca="1">IF(ISBLANK(A291), "", IF(SUMIFS('Annotated Papers'!G:G, 'Annotated Papers'!A:A,A291)&gt;0,1,0))</f>
        <v>0</v>
      </c>
      <c r="F291">
        <f ca="1">IF(ISBLANK(A291), "", IF(SUMIFS('Annotated Papers'!H:H, 'Annotated Papers'!A:A,A291)&gt;0,1,0))</f>
        <v>1</v>
      </c>
      <c r="G291" t="e">
        <f ca="1">IF(ISBLANK(A291), "", IF(SUMIFS('Annotated Papers'!I:I, 'Annotated Papers'!A:A,A291)&gt;0,1,0))</f>
        <v>#NAME?</v>
      </c>
      <c r="H291">
        <f ca="1">IF(ISBLANK(A291), "", IF(SUMIFS('Annotated Papers'!L:L, 'Annotated Papers'!A:A,A291)&gt;0,1,0))</f>
        <v>1</v>
      </c>
    </row>
    <row r="292" spans="1:8" ht="14">
      <c r="A292" s="25" t="str">
        <f ca="1">IFERROR(__xludf.DUMMYFUNCTION("""COMPUTED_VALUE"""),"Leveraging Meta-path based Context for Top N recommendation with Co-attention mechanism")</f>
        <v>Leveraging Meta-path based Context for Top N recommendation with Co-attention mechanism</v>
      </c>
      <c r="B292" t="str">
        <f ca="1">IF(ISBLANK(A292), "", VLOOKUP(A292,'Annotated Papers'!291:1330,2,FALSE))</f>
        <v>General</v>
      </c>
      <c r="C292" s="24">
        <f ca="1">IF(ISBLANK(A292), "", VLOOKUP(A292,'Annotated Papers'!291:1330,5,FALSE))</f>
        <v>0</v>
      </c>
      <c r="D292">
        <f ca="1">IF(ISBLANK(A292), "", IF(COUNTIF('Annotated Papers'!A:A,A292)&gt;1,1,0))</f>
        <v>1</v>
      </c>
      <c r="E292">
        <f ca="1">IF(ISBLANK(A292), "", IF(SUMIFS('Annotated Papers'!G:G, 'Annotated Papers'!A:A,A292)&gt;0,1,0))</f>
        <v>0</v>
      </c>
      <c r="F292">
        <f ca="1">IF(ISBLANK(A292), "", IF(SUMIFS('Annotated Papers'!H:H, 'Annotated Papers'!A:A,A292)&gt;0,1,0))</f>
        <v>1</v>
      </c>
      <c r="G292" t="e">
        <f ca="1">IF(ISBLANK(A292), "", IF(SUMIFS('Annotated Papers'!I:I, 'Annotated Papers'!A:A,A292)&gt;0,1,0))</f>
        <v>#NAME?</v>
      </c>
      <c r="H292">
        <f ca="1">IF(ISBLANK(A292), "", IF(SUMIFS('Annotated Papers'!L:L, 'Annotated Papers'!A:A,A292)&gt;0,1,0))</f>
        <v>1</v>
      </c>
    </row>
    <row r="293" spans="1:8" ht="14">
      <c r="A293" s="25" t="str">
        <f ca="1">IFERROR(__xludf.DUMMYFUNCTION("""COMPUTED_VALUE"""),"Analyzing Uncertainty in Neural Machine Translation")</f>
        <v>Analyzing Uncertainty in Neural Machine Translation</v>
      </c>
      <c r="B293" t="str">
        <f ca="1">IF(ISBLANK(A293), "", VLOOKUP(A293,'Annotated Papers'!292:1331,2,FALSE))</f>
        <v>General, NLP</v>
      </c>
      <c r="C293" s="24">
        <f ca="1">IF(ISBLANK(A293), "", VLOOKUP(A293,'Annotated Papers'!292:1331,5,FALSE))</f>
        <v>1</v>
      </c>
      <c r="D293">
        <f ca="1">IF(ISBLANK(A293), "", IF(COUNTIF('Annotated Papers'!A:A,A293)&gt;1,1,0))</f>
        <v>1</v>
      </c>
      <c r="E293">
        <f ca="1">IF(ISBLANK(A293), "", IF(SUMIFS('Annotated Papers'!G:G, 'Annotated Papers'!A:A,A293)&gt;0,1,0))</f>
        <v>0</v>
      </c>
      <c r="F293">
        <f ca="1">IF(ISBLANK(A293), "", IF(SUMIFS('Annotated Papers'!H:H, 'Annotated Papers'!A:A,A293)&gt;0,1,0))</f>
        <v>1</v>
      </c>
      <c r="G293" t="e">
        <f ca="1">IF(ISBLANK(A293), "", IF(SUMIFS('Annotated Papers'!I:I, 'Annotated Papers'!A:A,A293)&gt;0,1,0))</f>
        <v>#NAME?</v>
      </c>
      <c r="H293">
        <f ca="1">IF(ISBLANK(A293), "", IF(SUMIFS('Annotated Papers'!L:L, 'Annotated Papers'!A:A,A293)&gt;0,1,0))</f>
        <v>0</v>
      </c>
    </row>
    <row r="294" spans="1:8" ht="14">
      <c r="A294" s="25" t="str">
        <f ca="1">IFERROR(__xludf.DUMMYFUNCTION("""COMPUTED_VALUE"""),"Efficient Bias-Span-Constrained Exploration-Exploitation in Reinforcement Learning")</f>
        <v>Efficient Bias-Span-Constrained Exploration-Exploitation in Reinforcement Learning</v>
      </c>
      <c r="B294" t="str">
        <f ca="1">IF(ISBLANK(A294), "", VLOOKUP(A294,'Annotated Papers'!293:1332,2,FALSE))</f>
        <v>General</v>
      </c>
      <c r="C294" s="24">
        <f ca="1">IF(ISBLANK(A294), "", VLOOKUP(A294,'Annotated Papers'!293:1332,5,FALSE))</f>
        <v>1</v>
      </c>
      <c r="D294">
        <f ca="1">IF(ISBLANK(A294), "", IF(COUNTIF('Annotated Papers'!A:A,A294)&gt;1,1,0))</f>
        <v>0</v>
      </c>
      <c r="E294">
        <f ca="1">IF(ISBLANK(A294), "", IF(SUMIFS('Annotated Papers'!G:G, 'Annotated Papers'!A:A,A294)&gt;0,1,0))</f>
        <v>0</v>
      </c>
      <c r="F294">
        <f ca="1">IF(ISBLANK(A294), "", IF(SUMIFS('Annotated Papers'!H:H, 'Annotated Papers'!A:A,A294)&gt;0,1,0))</f>
        <v>0</v>
      </c>
      <c r="G294">
        <f ca="1">IF(ISBLANK(A294), "", IF(SUMIFS('Annotated Papers'!I:I, 'Annotated Papers'!A:A,A294)&gt;0,1,0))</f>
        <v>0</v>
      </c>
      <c r="H294">
        <f ca="1">IF(ISBLANK(A294), "", IF(SUMIFS('Annotated Papers'!L:L, 'Annotated Papers'!A:A,A294)&gt;0,1,0))</f>
        <v>1</v>
      </c>
    </row>
    <row r="295" spans="1:8" ht="14">
      <c r="A295" s="25" t="str">
        <f ca="1">IFERROR(__xludf.DUMMYFUNCTION("""COMPUTED_VALUE"""),"Learning to Share and Hide Intentions using Information Regularization")</f>
        <v>Learning to Share and Hide Intentions using Information Regularization</v>
      </c>
      <c r="B295" t="str">
        <f ca="1">IF(ISBLANK(A295), "", VLOOKUP(A295,'Annotated Papers'!294:1333,2,FALSE))</f>
        <v>General</v>
      </c>
      <c r="C295" s="24">
        <f ca="1">IF(ISBLANK(A295), "", VLOOKUP(A295,'Annotated Papers'!294:1333,5,FALSE))</f>
        <v>1</v>
      </c>
      <c r="D295">
        <f ca="1">IF(ISBLANK(A295), "", IF(COUNTIF('Annotated Papers'!A:A,A295)&gt;1,1,0))</f>
        <v>1</v>
      </c>
      <c r="E295">
        <f ca="1">IF(ISBLANK(A295), "", IF(SUMIFS('Annotated Papers'!G:G, 'Annotated Papers'!A:A,A295)&gt;0,1,0))</f>
        <v>0</v>
      </c>
      <c r="F295">
        <f ca="1">IF(ISBLANK(A295), "", IF(SUMIFS('Annotated Papers'!H:H, 'Annotated Papers'!A:A,A295)&gt;0,1,0))</f>
        <v>1</v>
      </c>
      <c r="G295" t="e">
        <f ca="1">IF(ISBLANK(A295), "", IF(SUMIFS('Annotated Papers'!I:I, 'Annotated Papers'!A:A,A295)&gt;0,1,0))</f>
        <v>#NAME?</v>
      </c>
      <c r="H295">
        <f ca="1">IF(ISBLANK(A295), "", IF(SUMIFS('Annotated Papers'!L:L, 'Annotated Papers'!A:A,A295)&gt;0,1,0))</f>
        <v>1</v>
      </c>
    </row>
    <row r="296" spans="1:8" ht="14">
      <c r="A296" s="25" t="str">
        <f ca="1">IFERROR(__xludf.DUMMYFUNCTION("""COMPUTED_VALUE"""),"L4: Practical loss-based stepsize adaptation for deep learning")</f>
        <v>L4: Practical loss-based stepsize adaptation for deep learning</v>
      </c>
      <c r="B296" t="str">
        <f ca="1">IF(ISBLANK(A296), "", VLOOKUP(A296,'Annotated Papers'!295:1334,2,FALSE))</f>
        <v>General</v>
      </c>
      <c r="C296" s="24">
        <f ca="1">IF(ISBLANK(A296), "", VLOOKUP(A296,'Annotated Papers'!295:1334,5,FALSE))</f>
        <v>0</v>
      </c>
      <c r="D296">
        <f ca="1">IF(ISBLANK(A296), "", IF(COUNTIF('Annotated Papers'!A:A,A296)&gt;1,1,0))</f>
        <v>1</v>
      </c>
      <c r="E296">
        <f ca="1">IF(ISBLANK(A296), "", IF(SUMIFS('Annotated Papers'!G:G, 'Annotated Papers'!A:A,A296)&gt;0,1,0))</f>
        <v>0</v>
      </c>
      <c r="F296">
        <f ca="1">IF(ISBLANK(A296), "", IF(SUMIFS('Annotated Papers'!H:H, 'Annotated Papers'!A:A,A296)&gt;0,1,0))</f>
        <v>1</v>
      </c>
      <c r="G296" t="e">
        <f ca="1">IF(ISBLANK(A296), "", IF(SUMIFS('Annotated Papers'!I:I, 'Annotated Papers'!A:A,A296)&gt;0,1,0))</f>
        <v>#NAME?</v>
      </c>
      <c r="H296">
        <f ca="1">IF(ISBLANK(A296), "", IF(SUMIFS('Annotated Papers'!L:L, 'Annotated Papers'!A:A,A296)&gt;0,1,0))</f>
        <v>1</v>
      </c>
    </row>
    <row r="297" spans="1:8" ht="14">
      <c r="A297" s="26" t="str">
        <f ca="1">IFERROR(__xludf.DUMMYFUNCTION("""COMPUTED_VALUE"""),"Automated Essay Scoring in the Presence of Biased Ratings")</f>
        <v>Automated Essay Scoring in the Presence of Biased Ratings</v>
      </c>
      <c r="B297" t="str">
        <f ca="1">IF(ISBLANK(A297), "", VLOOKUP(A297,'Annotated Papers'!296:1335,2,FALSE))</f>
        <v>NLP</v>
      </c>
      <c r="C297" s="24">
        <f ca="1">IF(ISBLANK(A297), "", VLOOKUP(A297,'Annotated Papers'!296:1335,5,FALSE))</f>
        <v>0</v>
      </c>
      <c r="D297">
        <f ca="1">IF(ISBLANK(A297), "", IF(COUNTIF('Annotated Papers'!A:A,A297)&gt;1,1,0))</f>
        <v>0</v>
      </c>
      <c r="E297">
        <f ca="1">IF(ISBLANK(A297), "", IF(SUMIFS('Annotated Papers'!G:G, 'Annotated Papers'!A:A,A297)&gt;0,1,0))</f>
        <v>0</v>
      </c>
      <c r="F297">
        <f ca="1">IF(ISBLANK(A297), "", IF(SUMIFS('Annotated Papers'!H:H, 'Annotated Papers'!A:A,A297)&gt;0,1,0))</f>
        <v>1</v>
      </c>
      <c r="G297" t="e">
        <f ca="1">IF(ISBLANK(A297), "", IF(SUMIFS('Annotated Papers'!I:I, 'Annotated Papers'!A:A,A297)&gt;0,1,0))</f>
        <v>#NAME?</v>
      </c>
      <c r="H297">
        <f ca="1">IF(ISBLANK(A297), "", IF(SUMIFS('Annotated Papers'!L:L, 'Annotated Papers'!A:A,A297)&gt;0,1,0))</f>
        <v>1</v>
      </c>
    </row>
    <row r="298" spans="1:8" ht="14">
      <c r="A298" s="25" t="str">
        <f ca="1">IFERROR(__xludf.DUMMYFUNCTION("""COMPUTED_VALUE"""),"Hearst Patterns Revisited: Automatic Hypernym Detection from Large Text Corpora")</f>
        <v>Hearst Patterns Revisited: Automatic Hypernym Detection from Large Text Corpora</v>
      </c>
      <c r="B298" t="str">
        <f ca="1">IF(ISBLANK(A298), "", VLOOKUP(A298,'Annotated Papers'!297:1336,2,FALSE))</f>
        <v>NLP</v>
      </c>
      <c r="C298" s="24">
        <f ca="1">IF(ISBLANK(A298), "", VLOOKUP(A298,'Annotated Papers'!297:1336,5,FALSE))</f>
        <v>1</v>
      </c>
      <c r="D298">
        <f ca="1">IF(ISBLANK(A298), "", IF(COUNTIF('Annotated Papers'!A:A,A298)&gt;1,1,0))</f>
        <v>1</v>
      </c>
      <c r="E298">
        <f ca="1">IF(ISBLANK(A298), "", IF(SUMIFS('Annotated Papers'!G:G, 'Annotated Papers'!A:A,A298)&gt;0,1,0))</f>
        <v>0</v>
      </c>
      <c r="F298">
        <f ca="1">IF(ISBLANK(A298), "", IF(SUMIFS('Annotated Papers'!H:H, 'Annotated Papers'!A:A,A298)&gt;0,1,0))</f>
        <v>1</v>
      </c>
      <c r="G298" t="e">
        <f ca="1">IF(ISBLANK(A298), "", IF(SUMIFS('Annotated Papers'!I:I, 'Annotated Papers'!A:A,A298)&gt;0,1,0))</f>
        <v>#NAME?</v>
      </c>
      <c r="H298">
        <f ca="1">IF(ISBLANK(A298), "", IF(SUMIFS('Annotated Papers'!L:L, 'Annotated Papers'!A:A,A298)&gt;0,1,0))</f>
        <v>0</v>
      </c>
    </row>
    <row r="299" spans="1:8" ht="14">
      <c r="A299" s="26" t="str">
        <f ca="1">IFERROR(__xludf.DUMMYFUNCTION("""COMPUTED_VALUE"""),"Synthetic Data Made to Order: The Case of Parsing")</f>
        <v>Synthetic Data Made to Order: The Case of Parsing</v>
      </c>
      <c r="B299" t="str">
        <f ca="1">IF(ISBLANK(A299), "", VLOOKUP(A299,'Annotated Papers'!298:1337,2,FALSE))</f>
        <v>NLP</v>
      </c>
      <c r="C299" s="24">
        <f ca="1">IF(ISBLANK(A299), "", VLOOKUP(A299,'Annotated Papers'!298:1337,5,FALSE))</f>
        <v>1</v>
      </c>
      <c r="D299">
        <f ca="1">IF(ISBLANK(A299), "", IF(COUNTIF('Annotated Papers'!A:A,A299)&gt;1,1,0))</f>
        <v>0</v>
      </c>
      <c r="E299">
        <f ca="1">IF(ISBLANK(A299), "", IF(SUMIFS('Annotated Papers'!G:G, 'Annotated Papers'!A:A,A299)&gt;0,1,0))</f>
        <v>0</v>
      </c>
      <c r="F299">
        <f ca="1">IF(ISBLANK(A299), "", IF(SUMIFS('Annotated Papers'!H:H, 'Annotated Papers'!A:A,A299)&gt;0,1,0))</f>
        <v>1</v>
      </c>
      <c r="G299" t="e">
        <f ca="1">IF(ISBLANK(A299), "", IF(SUMIFS('Annotated Papers'!I:I, 'Annotated Papers'!A:A,A299)&gt;0,1,0))</f>
        <v>#NAME?</v>
      </c>
      <c r="H299">
        <f ca="1">IF(ISBLANK(A299), "", IF(SUMIFS('Annotated Papers'!L:L, 'Annotated Papers'!A:A,A299)&gt;0,1,0))</f>
        <v>0</v>
      </c>
    </row>
    <row r="300" spans="1:8" ht="14">
      <c r="A300" s="25" t="str">
        <f ca="1">IFERROR(__xludf.DUMMYFUNCTION("""COMPUTED_VALUE"""),"Non-Markovian Globally Consistent Multi-Object Tracking")</f>
        <v>Non-Markovian Globally Consistent Multi-Object Tracking</v>
      </c>
      <c r="B300" t="str">
        <f ca="1">IF(ISBLANK(A300), "", VLOOKUP(A300,'Annotated Papers'!299:1338,2,FALSE))</f>
        <v>CV</v>
      </c>
      <c r="C300" s="24">
        <f ca="1">IF(ISBLANK(A300), "", VLOOKUP(A300,'Annotated Papers'!299:1338,5,FALSE))</f>
        <v>1</v>
      </c>
      <c r="D300">
        <f ca="1">IF(ISBLANK(A300), "", IF(COUNTIF('Annotated Papers'!A:A,A300)&gt;1,1,0))</f>
        <v>1</v>
      </c>
      <c r="E300">
        <f ca="1">IF(ISBLANK(A300), "", IF(SUMIFS('Annotated Papers'!G:G, 'Annotated Papers'!A:A,A300)&gt;0,1,0))</f>
        <v>0</v>
      </c>
      <c r="F300">
        <f ca="1">IF(ISBLANK(A300), "", IF(SUMIFS('Annotated Papers'!H:H, 'Annotated Papers'!A:A,A300)&gt;0,1,0))</f>
        <v>1</v>
      </c>
      <c r="G300" t="e">
        <f ca="1">IF(ISBLANK(A300), "", IF(SUMIFS('Annotated Papers'!I:I, 'Annotated Papers'!A:A,A300)&gt;0,1,0))</f>
        <v>#NAME?</v>
      </c>
      <c r="H300">
        <f ca="1">IF(ISBLANK(A300), "", IF(SUMIFS('Annotated Papers'!L:L, 'Annotated Papers'!A:A,A300)&gt;0,1,0))</f>
        <v>0</v>
      </c>
    </row>
    <row r="301" spans="1:8" ht="14">
      <c r="A301" s="25" t="str">
        <f ca="1">IFERROR(__xludf.DUMMYFUNCTION("""COMPUTED_VALUE"""),"Visual Question Answering as a Meta Learning Task")</f>
        <v>Visual Question Answering as a Meta Learning Task</v>
      </c>
      <c r="B301" t="str">
        <f ca="1">IF(ISBLANK(A301), "", VLOOKUP(A301,'Annotated Papers'!300:1339,2,FALSE))</f>
        <v>CV</v>
      </c>
      <c r="C301" s="24">
        <f ca="1">IF(ISBLANK(A301), "", VLOOKUP(A301,'Annotated Papers'!300:1339,5,FALSE))</f>
        <v>0</v>
      </c>
      <c r="D301">
        <f ca="1">IF(ISBLANK(A301), "", IF(COUNTIF('Annotated Papers'!A:A,A301)&gt;1,1,0))</f>
        <v>0</v>
      </c>
      <c r="E301">
        <f ca="1">IF(ISBLANK(A301), "", IF(SUMIFS('Annotated Papers'!G:G, 'Annotated Papers'!A:A,A301)&gt;0,1,0))</f>
        <v>0</v>
      </c>
      <c r="F301">
        <f ca="1">IF(ISBLANK(A301), "", IF(SUMIFS('Annotated Papers'!H:H, 'Annotated Papers'!A:A,A301)&gt;0,1,0))</f>
        <v>1</v>
      </c>
      <c r="G301" t="e">
        <f ca="1">IF(ISBLANK(A301), "", IF(SUMIFS('Annotated Papers'!I:I, 'Annotated Papers'!A:A,A301)&gt;0,1,0))</f>
        <v>#NAME?</v>
      </c>
      <c r="H301">
        <f ca="1">IF(ISBLANK(A301), "", IF(SUMIFS('Annotated Papers'!L:L, 'Annotated Papers'!A:A,A301)&gt;0,1,0))</f>
        <v>0</v>
      </c>
    </row>
    <row r="302" spans="1:8" ht="14">
      <c r="A302" s="25" t="str">
        <f ca="1">IFERROR(__xludf.DUMMYFUNCTION("""COMPUTED_VALUE"""),"Certified Defenses against Adversarial Examples")</f>
        <v>Certified Defenses against Adversarial Examples</v>
      </c>
      <c r="B302" t="str">
        <f ca="1">IF(ISBLANK(A302), "", VLOOKUP(A302,'Annotated Papers'!301:1340,2,FALSE))</f>
        <v>General</v>
      </c>
      <c r="C302" s="24">
        <f ca="1">IF(ISBLANK(A302), "", VLOOKUP(A302,'Annotated Papers'!301:1340,5,FALSE))</f>
        <v>1</v>
      </c>
      <c r="D302">
        <f ca="1">IF(ISBLANK(A302), "", IF(COUNTIF('Annotated Papers'!A:A,A302)&gt;1,1,0))</f>
        <v>0</v>
      </c>
      <c r="E302">
        <f ca="1">IF(ISBLANK(A302), "", IF(SUMIFS('Annotated Papers'!G:G, 'Annotated Papers'!A:A,A302)&gt;0,1,0))</f>
        <v>0</v>
      </c>
      <c r="F302">
        <f ca="1">IF(ISBLANK(A302), "", IF(SUMIFS('Annotated Papers'!H:H, 'Annotated Papers'!A:A,A302)&gt;0,1,0))</f>
        <v>1</v>
      </c>
      <c r="G302" t="e">
        <f ca="1">IF(ISBLANK(A302), "", IF(SUMIFS('Annotated Papers'!I:I, 'Annotated Papers'!A:A,A302)&gt;0,1,0))</f>
        <v>#NAME?</v>
      </c>
      <c r="H302">
        <f ca="1">IF(ISBLANK(A302), "", IF(SUMIFS('Annotated Papers'!L:L, 'Annotated Papers'!A:A,A302)&gt;0,1,0))</f>
        <v>0</v>
      </c>
    </row>
    <row r="303" spans="1:8" ht="14">
      <c r="A303" s="25" t="str">
        <f ca="1">IFERROR(__xludf.DUMMYFUNCTION("""COMPUTED_VALUE"""),"Large scale distributed neural network training through online distillation")</f>
        <v>Large scale distributed neural network training through online distillation</v>
      </c>
      <c r="B303" t="str">
        <f ca="1">IF(ISBLANK(A303), "", VLOOKUP(A303,'Annotated Papers'!302:1341,2,FALSE))</f>
        <v>General</v>
      </c>
      <c r="C303" s="24">
        <f ca="1">IF(ISBLANK(A303), "", VLOOKUP(A303,'Annotated Papers'!302:1341,5,FALSE))</f>
        <v>0</v>
      </c>
      <c r="D303">
        <f ca="1">IF(ISBLANK(A303), "", IF(COUNTIF('Annotated Papers'!A:A,A303)&gt;1,1,0))</f>
        <v>1</v>
      </c>
      <c r="E303">
        <f ca="1">IF(ISBLANK(A303), "", IF(SUMIFS('Annotated Papers'!G:G, 'Annotated Papers'!A:A,A303)&gt;0,1,0))</f>
        <v>0</v>
      </c>
      <c r="F303">
        <f ca="1">IF(ISBLANK(A303), "", IF(SUMIFS('Annotated Papers'!H:H, 'Annotated Papers'!A:A,A303)&gt;0,1,0))</f>
        <v>1</v>
      </c>
      <c r="G303" t="e">
        <f ca="1">IF(ISBLANK(A303), "", IF(SUMIFS('Annotated Papers'!I:I, 'Annotated Papers'!A:A,A303)&gt;0,1,0))</f>
        <v>#NAME?</v>
      </c>
      <c r="H303">
        <f ca="1">IF(ISBLANK(A303), "", IF(SUMIFS('Annotated Papers'!L:L, 'Annotated Papers'!A:A,A303)&gt;0,1,0))</f>
        <v>1</v>
      </c>
    </row>
    <row r="304" spans="1:8" ht="14">
      <c r="A304" s="25" t="str">
        <f ca="1">IFERROR(__xludf.DUMMYFUNCTION("""COMPUTED_VALUE"""),"ACTIVATION MAXIMIZATION GENERATIVE ADVERSARIAL NETS")</f>
        <v>ACTIVATION MAXIMIZATION GENERATIVE ADVERSARIAL NETS</v>
      </c>
      <c r="B304" t="str">
        <f ca="1">IF(ISBLANK(A304), "", VLOOKUP(A304,'Annotated Papers'!303:1342,2,FALSE))</f>
        <v>General</v>
      </c>
      <c r="C304" s="24">
        <f ca="1">IF(ISBLANK(A304), "", VLOOKUP(A304,'Annotated Papers'!303:1342,5,FALSE))</f>
        <v>1</v>
      </c>
      <c r="D304">
        <f ca="1">IF(ISBLANK(A304), "", IF(COUNTIF('Annotated Papers'!A:A,A304)&gt;1,1,0))</f>
        <v>1</v>
      </c>
      <c r="E304">
        <f ca="1">IF(ISBLANK(A304), "", IF(SUMIFS('Annotated Papers'!G:G, 'Annotated Papers'!A:A,A304)&gt;0,1,0))</f>
        <v>0</v>
      </c>
      <c r="F304">
        <f ca="1">IF(ISBLANK(A304), "", IF(SUMIFS('Annotated Papers'!H:H, 'Annotated Papers'!A:A,A304)&gt;0,1,0))</f>
        <v>1</v>
      </c>
      <c r="G304" t="e">
        <f ca="1">IF(ISBLANK(A304), "", IF(SUMIFS('Annotated Papers'!I:I, 'Annotated Papers'!A:A,A304)&gt;0,1,0))</f>
        <v>#NAME?</v>
      </c>
      <c r="H304">
        <f ca="1">IF(ISBLANK(A304), "", IF(SUMIFS('Annotated Papers'!L:L, 'Annotated Papers'!A:A,A304)&gt;0,1,0))</f>
        <v>1</v>
      </c>
    </row>
    <row r="305" spans="1:8" ht="14">
      <c r="A305" s="25" t="str">
        <f ca="1">IFERROR(__xludf.DUMMYFUNCTION("""COMPUTED_VALUE"""),"Diffusion Convolutional Recurrent Neural Network: Data-Driven Traffic Forecasting")</f>
        <v>Diffusion Convolutional Recurrent Neural Network: Data-Driven Traffic Forecasting</v>
      </c>
      <c r="B305" t="str">
        <f ca="1">IF(ISBLANK(A305), "", VLOOKUP(A305,'Annotated Papers'!304:1343,2,FALSE))</f>
        <v>General</v>
      </c>
      <c r="C305" s="24">
        <f ca="1">IF(ISBLANK(A305), "", VLOOKUP(A305,'Annotated Papers'!304:1343,5,FALSE))</f>
        <v>1</v>
      </c>
      <c r="D305">
        <f ca="1">IF(ISBLANK(A305), "", IF(COUNTIF('Annotated Papers'!A:A,A305)&gt;1,1,0))</f>
        <v>1</v>
      </c>
      <c r="E305">
        <f ca="1">IF(ISBLANK(A305), "", IF(SUMIFS('Annotated Papers'!G:G, 'Annotated Papers'!A:A,A305)&gt;0,1,0))</f>
        <v>0</v>
      </c>
      <c r="F305">
        <f ca="1">IF(ISBLANK(A305), "", IF(SUMIFS('Annotated Papers'!H:H, 'Annotated Papers'!A:A,A305)&gt;0,1,0))</f>
        <v>1</v>
      </c>
      <c r="G305" t="e">
        <f ca="1">IF(ISBLANK(A305), "", IF(SUMIFS('Annotated Papers'!I:I, 'Annotated Papers'!A:A,A305)&gt;0,1,0))</f>
        <v>#NAME?</v>
      </c>
      <c r="H305">
        <f ca="1">IF(ISBLANK(A305), "", IF(SUMIFS('Annotated Papers'!L:L, 'Annotated Papers'!A:A,A305)&gt;0,1,0))</f>
        <v>1</v>
      </c>
    </row>
    <row r="306" spans="1:8" ht="14">
      <c r="A306" s="25" t="str">
        <f ca="1">IFERROR(__xludf.DUMMYFUNCTION("""COMPUTED_VALUE"""),"Unsupervised Neural Machine Translation")</f>
        <v>Unsupervised Neural Machine Translation</v>
      </c>
      <c r="B306" t="str">
        <f ca="1">IF(ISBLANK(A306), "", VLOOKUP(A306,'Annotated Papers'!305:1344,2,FALSE))</f>
        <v>General</v>
      </c>
      <c r="C306" s="24">
        <f ca="1">IF(ISBLANK(A306), "", VLOOKUP(A306,'Annotated Papers'!305:1344,5,FALSE))</f>
        <v>1</v>
      </c>
      <c r="D306">
        <f ca="1">IF(ISBLANK(A306), "", IF(COUNTIF('Annotated Papers'!A:A,A306)&gt;1,1,0))</f>
        <v>0</v>
      </c>
      <c r="E306">
        <f ca="1">IF(ISBLANK(A306), "", IF(SUMIFS('Annotated Papers'!G:G, 'Annotated Papers'!A:A,A306)&gt;0,1,0))</f>
        <v>0</v>
      </c>
      <c r="F306">
        <f ca="1">IF(ISBLANK(A306), "", IF(SUMIFS('Annotated Papers'!H:H, 'Annotated Papers'!A:A,A306)&gt;0,1,0))</f>
        <v>1</v>
      </c>
      <c r="G306" t="e">
        <f ca="1">IF(ISBLANK(A306), "", IF(SUMIFS('Annotated Papers'!I:I, 'Annotated Papers'!A:A,A306)&gt;0,1,0))</f>
        <v>#NAME?</v>
      </c>
      <c r="H306">
        <f ca="1">IF(ISBLANK(A306), "", IF(SUMIFS('Annotated Papers'!L:L, 'Annotated Papers'!A:A,A306)&gt;0,1,0))</f>
        <v>0</v>
      </c>
    </row>
    <row r="307" spans="1:8" ht="14">
      <c r="A307" s="25" t="str">
        <f ca="1">IFERROR(__xludf.DUMMYFUNCTION("""COMPUTED_VALUE"""),"Densely Connected Attention Propagation for Reading Comprehension")</f>
        <v>Densely Connected Attention Propagation for Reading Comprehension</v>
      </c>
      <c r="B307" t="str">
        <f ca="1">IF(ISBLANK(A307), "", VLOOKUP(A307,'Annotated Papers'!306:1345,2,FALSE))</f>
        <v>General</v>
      </c>
      <c r="C307" s="24">
        <f ca="1">IF(ISBLANK(A307), "", VLOOKUP(A307,'Annotated Papers'!306:1345,5,FALSE))</f>
        <v>0</v>
      </c>
      <c r="D307">
        <f ca="1">IF(ISBLANK(A307), "", IF(COUNTIF('Annotated Papers'!A:A,A307)&gt;1,1,0))</f>
        <v>1</v>
      </c>
      <c r="E307">
        <f ca="1">IF(ISBLANK(A307), "", IF(SUMIFS('Annotated Papers'!G:G, 'Annotated Papers'!A:A,A307)&gt;0,1,0))</f>
        <v>0</v>
      </c>
      <c r="F307">
        <f ca="1">IF(ISBLANK(A307), "", IF(SUMIFS('Annotated Papers'!H:H, 'Annotated Papers'!A:A,A307)&gt;0,1,0))</f>
        <v>1</v>
      </c>
      <c r="G307" t="e">
        <f ca="1">IF(ISBLANK(A307), "", IF(SUMIFS('Annotated Papers'!I:I, 'Annotated Papers'!A:A,A307)&gt;0,1,0))</f>
        <v>#NAME?</v>
      </c>
      <c r="H307">
        <f ca="1">IF(ISBLANK(A307), "", IF(SUMIFS('Annotated Papers'!L:L, 'Annotated Papers'!A:A,A307)&gt;0,1,0))</f>
        <v>1</v>
      </c>
    </row>
    <row r="308" spans="1:8" ht="14">
      <c r="A308" s="25" t="str">
        <f ca="1">IFERROR(__xludf.DUMMYFUNCTION("""COMPUTED_VALUE"""),"Content-Based Citation Recommendation")</f>
        <v>Content-Based Citation Recommendation</v>
      </c>
      <c r="B308" t="str">
        <f ca="1">IF(ISBLANK(A308), "", VLOOKUP(A308,'Annotated Papers'!307:1346,2,FALSE))</f>
        <v>NLP</v>
      </c>
      <c r="C308" s="24">
        <f ca="1">IF(ISBLANK(A308), "", VLOOKUP(A308,'Annotated Papers'!307:1346,5,FALSE))</f>
        <v>1</v>
      </c>
      <c r="D308">
        <f ca="1">IF(ISBLANK(A308), "", IF(COUNTIF('Annotated Papers'!A:A,A308)&gt;1,1,0))</f>
        <v>1</v>
      </c>
      <c r="E308">
        <f ca="1">IF(ISBLANK(A308), "", IF(SUMIFS('Annotated Papers'!G:G, 'Annotated Papers'!A:A,A308)&gt;0,1,0))</f>
        <v>0</v>
      </c>
      <c r="F308">
        <f ca="1">IF(ISBLANK(A308), "", IF(SUMIFS('Annotated Papers'!H:H, 'Annotated Papers'!A:A,A308)&gt;0,1,0))</f>
        <v>1</v>
      </c>
      <c r="G308" t="e">
        <f ca="1">IF(ISBLANK(A308), "", IF(SUMIFS('Annotated Papers'!I:I, 'Annotated Papers'!A:A,A308)&gt;0,1,0))</f>
        <v>#NAME?</v>
      </c>
      <c r="H308">
        <f ca="1">IF(ISBLANK(A308), "", IF(SUMIFS('Annotated Papers'!L:L, 'Annotated Papers'!A:A,A308)&gt;0,1,0))</f>
        <v>1</v>
      </c>
    </row>
    <row r="309" spans="1:8" ht="14">
      <c r="A309" s="25" t="str">
        <f ca="1">IFERROR(__xludf.DUMMYFUNCTION("""COMPUTED_VALUE"""),"Hybrid-MST: A Hybrid Active Sampling Strategy for Pairwise Preference Aggregation")</f>
        <v>Hybrid-MST: A Hybrid Active Sampling Strategy for Pairwise Preference Aggregation</v>
      </c>
      <c r="B309" t="str">
        <f ca="1">IF(ISBLANK(A309), "", VLOOKUP(A309,'Annotated Papers'!308:1347,2,FALSE))</f>
        <v>General</v>
      </c>
      <c r="C309" s="24">
        <f ca="1">IF(ISBLANK(A309), "", VLOOKUP(A309,'Annotated Papers'!308:1347,5,FALSE))</f>
        <v>1</v>
      </c>
      <c r="D309">
        <f ca="1">IF(ISBLANK(A309), "", IF(COUNTIF('Annotated Papers'!A:A,A309)&gt;1,1,0))</f>
        <v>1</v>
      </c>
      <c r="E309">
        <f ca="1">IF(ISBLANK(A309), "", IF(SUMIFS('Annotated Papers'!G:G, 'Annotated Papers'!A:A,A309)&gt;0,1,0))</f>
        <v>0</v>
      </c>
      <c r="F309">
        <f ca="1">IF(ISBLANK(A309), "", IF(SUMIFS('Annotated Papers'!H:H, 'Annotated Papers'!A:A,A309)&gt;0,1,0))</f>
        <v>1</v>
      </c>
      <c r="G309" t="e">
        <f ca="1">IF(ISBLANK(A309), "", IF(SUMIFS('Annotated Papers'!I:I, 'Annotated Papers'!A:A,A309)&gt;0,1,0))</f>
        <v>#NAME?</v>
      </c>
      <c r="H309">
        <f ca="1">IF(ISBLANK(A309), "", IF(SUMIFS('Annotated Papers'!L:L, 'Annotated Papers'!A:A,A309)&gt;0,1,0))</f>
        <v>0</v>
      </c>
    </row>
    <row r="310" spans="1:8" ht="14">
      <c r="A310" s="25" t="str">
        <f ca="1">IFERROR(__xludf.DUMMYFUNCTION("""COMPUTED_VALUE"""),"Adversarially Robust Optimization with Gaussian Processes")</f>
        <v>Adversarially Robust Optimization with Gaussian Processes</v>
      </c>
      <c r="B310" t="str">
        <f ca="1">IF(ISBLANK(A310), "", VLOOKUP(A310,'Annotated Papers'!309:1348,2,FALSE))</f>
        <v>General</v>
      </c>
      <c r="C310" s="24">
        <f ca="1">IF(ISBLANK(A310), "", VLOOKUP(A310,'Annotated Papers'!309:1348,5,FALSE))</f>
        <v>1</v>
      </c>
      <c r="D310">
        <f ca="1">IF(ISBLANK(A310), "", IF(COUNTIF('Annotated Papers'!A:A,A310)&gt;1,1,0))</f>
        <v>0</v>
      </c>
      <c r="E310">
        <f ca="1">IF(ISBLANK(A310), "", IF(SUMIFS('Annotated Papers'!G:G, 'Annotated Papers'!A:A,A310)&gt;0,1,0))</f>
        <v>0</v>
      </c>
      <c r="F310">
        <f ca="1">IF(ISBLANK(A310), "", IF(SUMIFS('Annotated Papers'!H:H, 'Annotated Papers'!A:A,A310)&gt;0,1,0))</f>
        <v>1</v>
      </c>
      <c r="G310" t="e">
        <f ca="1">IF(ISBLANK(A310), "", IF(SUMIFS('Annotated Papers'!I:I, 'Annotated Papers'!A:A,A310)&gt;0,1,0))</f>
        <v>#NAME?</v>
      </c>
      <c r="H310">
        <f ca="1">IF(ISBLANK(A310), "", IF(SUMIFS('Annotated Papers'!L:L, 'Annotated Papers'!A:A,A310)&gt;0,1,0))</f>
        <v>1</v>
      </c>
    </row>
    <row r="311" spans="1:8" ht="14">
      <c r="A311" s="25" t="str">
        <f ca="1">IFERROR(__xludf.DUMMYFUNCTION("""COMPUTED_VALUE"""),"Deep Network for the Integrated 3D Sensing of Multiple People in Natural Images")</f>
        <v>Deep Network for the Integrated 3D Sensing of Multiple People in Natural Images</v>
      </c>
      <c r="B311" t="str">
        <f ca="1">IF(ISBLANK(A311), "", VLOOKUP(A311,'Annotated Papers'!310:1349,2,FALSE))</f>
        <v>General</v>
      </c>
      <c r="C311" s="24">
        <f ca="1">IF(ISBLANK(A311), "", VLOOKUP(A311,'Annotated Papers'!310:1349,5,FALSE))</f>
        <v>0</v>
      </c>
      <c r="D311">
        <f ca="1">IF(ISBLANK(A311), "", IF(COUNTIF('Annotated Papers'!A:A,A311)&gt;1,1,0))</f>
        <v>1</v>
      </c>
      <c r="E311">
        <f ca="1">IF(ISBLANK(A311), "", IF(SUMIFS('Annotated Papers'!G:G, 'Annotated Papers'!A:A,A311)&gt;0,1,0))</f>
        <v>0</v>
      </c>
      <c r="F311">
        <f ca="1">IF(ISBLANK(A311), "", IF(SUMIFS('Annotated Papers'!H:H, 'Annotated Papers'!A:A,A311)&gt;0,1,0))</f>
        <v>1</v>
      </c>
      <c r="G311" t="e">
        <f ca="1">IF(ISBLANK(A311), "", IF(SUMIFS('Annotated Papers'!I:I, 'Annotated Papers'!A:A,A311)&gt;0,1,0))</f>
        <v>#NAME?</v>
      </c>
      <c r="H311">
        <f ca="1">IF(ISBLANK(A311), "", IF(SUMIFS('Annotated Papers'!L:L, 'Annotated Papers'!A:A,A311)&gt;0,1,0))</f>
        <v>0</v>
      </c>
    </row>
    <row r="312" spans="1:8" ht="14">
      <c r="A312" s="25" t="str">
        <f ca="1">IFERROR(__xludf.DUMMYFUNCTION("""COMPUTED_VALUE"""),"On the Generalization of Equivariance and Convolution in Neural Networks to the Action of Compact Groups")</f>
        <v>On the Generalization of Equivariance and Convolution in Neural Networks to the Action of Compact Groups</v>
      </c>
      <c r="B312" t="str">
        <f ca="1">IF(ISBLANK(A312), "", VLOOKUP(A312,'Annotated Papers'!311:1350,2,FALSE))</f>
        <v>General</v>
      </c>
      <c r="C312" s="24">
        <f ca="1">IF(ISBLANK(A312), "", VLOOKUP(A312,'Annotated Papers'!311:1350,5,FALSE))</f>
        <v>0</v>
      </c>
      <c r="D312">
        <f ca="1">IF(ISBLANK(A312), "", IF(COUNTIF('Annotated Papers'!A:A,A312)&gt;1,1,0))</f>
        <v>0</v>
      </c>
      <c r="E312">
        <f ca="1">IF(ISBLANK(A312), "", IF(SUMIFS('Annotated Papers'!G:G, 'Annotated Papers'!A:A,A312)&gt;0,1,0))</f>
        <v>0</v>
      </c>
      <c r="F312">
        <f ca="1">IF(ISBLANK(A312), "", IF(SUMIFS('Annotated Papers'!H:H, 'Annotated Papers'!A:A,A312)&gt;0,1,0))</f>
        <v>0</v>
      </c>
      <c r="G312">
        <f ca="1">IF(ISBLANK(A312), "", IF(SUMIFS('Annotated Papers'!I:I, 'Annotated Papers'!A:A,A312)&gt;0,1,0))</f>
        <v>0</v>
      </c>
      <c r="H312">
        <f ca="1">IF(ISBLANK(A312), "", IF(SUMIFS('Annotated Papers'!L:L, 'Annotated Papers'!A:A,A312)&gt;0,1,0))</f>
        <v>0</v>
      </c>
    </row>
    <row r="313" spans="1:8" ht="14">
      <c r="A313" s="25" t="str">
        <f ca="1">IFERROR(__xludf.DUMMYFUNCTION("""COMPUTED_VALUE"""),"Looking Beyond the Surface: A Challenge Set for Reading Comprehension over Multiple Sentences")</f>
        <v>Looking Beyond the Surface: A Challenge Set for Reading Comprehension over Multiple Sentences</v>
      </c>
      <c r="B313" t="str">
        <f ca="1">IF(ISBLANK(A313), "", VLOOKUP(A313,'Annotated Papers'!312:1351,2,FALSE))</f>
        <v>NLP</v>
      </c>
      <c r="C313" s="24">
        <f ca="1">IF(ISBLANK(A313), "", VLOOKUP(A313,'Annotated Papers'!312:1351,5,FALSE))</f>
        <v>1</v>
      </c>
      <c r="D313">
        <f ca="1">IF(ISBLANK(A313), "", IF(COUNTIF('Annotated Papers'!A:A,A313)&gt;1,1,0))</f>
        <v>0</v>
      </c>
      <c r="E313">
        <f ca="1">IF(ISBLANK(A313), "", IF(SUMIFS('Annotated Papers'!G:G, 'Annotated Papers'!A:A,A313)&gt;0,1,0))</f>
        <v>0</v>
      </c>
      <c r="F313">
        <f ca="1">IF(ISBLANK(A313), "", IF(SUMIFS('Annotated Papers'!H:H, 'Annotated Papers'!A:A,A313)&gt;0,1,0))</f>
        <v>1</v>
      </c>
      <c r="G313" t="e">
        <f ca="1">IF(ISBLANK(A313), "", IF(SUMIFS('Annotated Papers'!I:I, 'Annotated Papers'!A:A,A313)&gt;0,1,0))</f>
        <v>#NAME?</v>
      </c>
      <c r="H313">
        <f ca="1">IF(ISBLANK(A313), "", IF(SUMIFS('Annotated Papers'!L:L, 'Annotated Papers'!A:A,A313)&gt;0,1,0))</f>
        <v>0</v>
      </c>
    </row>
    <row r="314" spans="1:8" ht="14">
      <c r="A314" s="25" t="str">
        <f ca="1">IFERROR(__xludf.DUMMYFUNCTION("""COMPUTED_VALUE"""),"Deep, complex, invertible networks for inversion of transmission effects in multimode optical fibres")</f>
        <v>Deep, complex, invertible networks for inversion of transmission effects in multimode optical fibres</v>
      </c>
      <c r="B314" t="str">
        <f ca="1">IF(ISBLANK(A314), "", VLOOKUP(A314,'Annotated Papers'!313:1352,2,FALSE))</f>
        <v>General</v>
      </c>
      <c r="C314" s="24">
        <f ca="1">IF(ISBLANK(A314), "", VLOOKUP(A314,'Annotated Papers'!313:1352,5,FALSE))</f>
        <v>1</v>
      </c>
      <c r="D314">
        <f ca="1">IF(ISBLANK(A314), "", IF(COUNTIF('Annotated Papers'!A:A,A314)&gt;1,1,0))</f>
        <v>0</v>
      </c>
      <c r="E314">
        <f ca="1">IF(ISBLANK(A314), "", IF(SUMIFS('Annotated Papers'!G:G, 'Annotated Papers'!A:A,A314)&gt;0,1,0))</f>
        <v>0</v>
      </c>
      <c r="F314">
        <f ca="1">IF(ISBLANK(A314), "", IF(SUMIFS('Annotated Papers'!H:H, 'Annotated Papers'!A:A,A314)&gt;0,1,0))</f>
        <v>1</v>
      </c>
      <c r="G314" t="e">
        <f ca="1">IF(ISBLANK(A314), "", IF(SUMIFS('Annotated Papers'!I:I, 'Annotated Papers'!A:A,A314)&gt;0,1,0))</f>
        <v>#NAME?</v>
      </c>
      <c r="H314">
        <f ca="1">IF(ISBLANK(A314), "", IF(SUMIFS('Annotated Papers'!L:L, 'Annotated Papers'!A:A,A314)&gt;0,1,0))</f>
        <v>0</v>
      </c>
    </row>
    <row r="315" spans="1:8" ht="14">
      <c r="A315" s="25" t="str">
        <f ca="1">IFERROR(__xludf.DUMMYFUNCTION("""COMPUTED_VALUE"""),"Neural Architecture Optimization")</f>
        <v>Neural Architecture Optimization</v>
      </c>
      <c r="B315" t="str">
        <f ca="1">IF(ISBLANK(A315), "", VLOOKUP(A315,'Annotated Papers'!314:1353,2,FALSE))</f>
        <v>General</v>
      </c>
      <c r="C315" s="24">
        <f ca="1">IF(ISBLANK(A315), "", VLOOKUP(A315,'Annotated Papers'!314:1353,5,FALSE))</f>
        <v>1</v>
      </c>
      <c r="D315">
        <f ca="1">IF(ISBLANK(A315), "", IF(COUNTIF('Annotated Papers'!A:A,A315)&gt;1,1,0))</f>
        <v>1</v>
      </c>
      <c r="E315">
        <f ca="1">IF(ISBLANK(A315), "", IF(SUMIFS('Annotated Papers'!G:G, 'Annotated Papers'!A:A,A315)&gt;0,1,0))</f>
        <v>0</v>
      </c>
      <c r="F315">
        <f ca="1">IF(ISBLANK(A315), "", IF(SUMIFS('Annotated Papers'!H:H, 'Annotated Papers'!A:A,A315)&gt;0,1,0))</f>
        <v>1</v>
      </c>
      <c r="G315" t="e">
        <f ca="1">IF(ISBLANK(A315), "", IF(SUMIFS('Annotated Papers'!I:I, 'Annotated Papers'!A:A,A315)&gt;0,1,0))</f>
        <v>#NAME?</v>
      </c>
      <c r="H315">
        <f ca="1">IF(ISBLANK(A315), "", IF(SUMIFS('Annotated Papers'!L:L, 'Annotated Papers'!A:A,A315)&gt;0,1,0))</f>
        <v>0</v>
      </c>
    </row>
    <row r="316" spans="1:8" ht="14">
      <c r="A316" s="25" t="str">
        <f ca="1">IFERROR(__xludf.DUMMYFUNCTION("""COMPUTED_VALUE"""),"Zero-shot Sequence Labeling:
Transferring Knowledge from Sentences to Tokens")</f>
        <v>Zero-shot Sequence Labeling:
Transferring Knowledge from Sentences to Tokens</v>
      </c>
      <c r="B316" t="str">
        <f ca="1">IF(ISBLANK(A316), "", VLOOKUP(A316,'Annotated Papers'!315:1354,2,FALSE))</f>
        <v>NLP</v>
      </c>
      <c r="C316" s="24">
        <f ca="1">IF(ISBLANK(A316), "", VLOOKUP(A316,'Annotated Papers'!315:1354,5,FALSE))</f>
        <v>1</v>
      </c>
      <c r="D316">
        <f ca="1">IF(ISBLANK(A316), "", IF(COUNTIF('Annotated Papers'!A:A,A316)&gt;1,1,0))</f>
        <v>1</v>
      </c>
      <c r="E316">
        <f ca="1">IF(ISBLANK(A316), "", IF(SUMIFS('Annotated Papers'!G:G, 'Annotated Papers'!A:A,A316)&gt;0,1,0))</f>
        <v>1</v>
      </c>
      <c r="F316">
        <f ca="1">IF(ISBLANK(A316), "", IF(SUMIFS('Annotated Papers'!H:H, 'Annotated Papers'!A:A,A316)&gt;0,1,0))</f>
        <v>1</v>
      </c>
      <c r="G316" t="e">
        <f ca="1">IF(ISBLANK(A316), "", IF(SUMIFS('Annotated Papers'!I:I, 'Annotated Papers'!A:A,A316)&gt;0,1,0))</f>
        <v>#NAME?</v>
      </c>
      <c r="H316">
        <f ca="1">IF(ISBLANK(A316), "", IF(SUMIFS('Annotated Papers'!L:L, 'Annotated Papers'!A:A,A316)&gt;0,1,0))</f>
        <v>0</v>
      </c>
    </row>
    <row r="317" spans="1:8" ht="14">
      <c r="A317" s="25" t="str">
        <f ca="1">IFERROR(__xludf.DUMMYFUNCTION("""COMPUTED_VALUE"""),"PixelSNAIL: An Improved Autoregressive Generative Model")</f>
        <v>PixelSNAIL: An Improved Autoregressive Generative Model</v>
      </c>
      <c r="B317" t="str">
        <f ca="1">IF(ISBLANK(A317), "", VLOOKUP(A317,'Annotated Papers'!316:1355,2,FALSE))</f>
        <v>General</v>
      </c>
      <c r="C317" s="24">
        <f ca="1">IF(ISBLANK(A317), "", VLOOKUP(A317,'Annotated Papers'!316:1355,5,FALSE))</f>
        <v>1</v>
      </c>
      <c r="D317">
        <f ca="1">IF(ISBLANK(A317), "", IF(COUNTIF('Annotated Papers'!A:A,A317)&gt;1,1,0))</f>
        <v>1</v>
      </c>
      <c r="E317">
        <f ca="1">IF(ISBLANK(A317), "", IF(SUMIFS('Annotated Papers'!G:G, 'Annotated Papers'!A:A,A317)&gt;0,1,0))</f>
        <v>0</v>
      </c>
      <c r="F317">
        <f ca="1">IF(ISBLANK(A317), "", IF(SUMIFS('Annotated Papers'!H:H, 'Annotated Papers'!A:A,A317)&gt;0,1,0))</f>
        <v>1</v>
      </c>
      <c r="G317" t="e">
        <f ca="1">IF(ISBLANK(A317), "", IF(SUMIFS('Annotated Papers'!I:I, 'Annotated Papers'!A:A,A317)&gt;0,1,0))</f>
        <v>#NAME?</v>
      </c>
      <c r="H317">
        <f ca="1">IF(ISBLANK(A317), "", IF(SUMIFS('Annotated Papers'!L:L, 'Annotated Papers'!A:A,A317)&gt;0,1,0))</f>
        <v>0</v>
      </c>
    </row>
    <row r="318" spans="1:8" ht="14">
      <c r="A318" s="25" t="str">
        <f ca="1">IFERROR(__xludf.DUMMYFUNCTION("""COMPUTED_VALUE"""),"Transformation Autoregressive Networks")</f>
        <v>Transformation Autoregressive Networks</v>
      </c>
      <c r="B318" t="str">
        <f ca="1">IF(ISBLANK(A318), "", VLOOKUP(A318,'Annotated Papers'!317:1356,2,FALSE))</f>
        <v>General</v>
      </c>
      <c r="C318" s="24">
        <f ca="1">IF(ISBLANK(A318), "", VLOOKUP(A318,'Annotated Papers'!317:1356,5,FALSE))</f>
        <v>1</v>
      </c>
      <c r="D318">
        <f ca="1">IF(ISBLANK(A318), "", IF(COUNTIF('Annotated Papers'!A:A,A318)&gt;1,1,0))</f>
        <v>1</v>
      </c>
      <c r="E318">
        <f ca="1">IF(ISBLANK(A318), "", IF(SUMIFS('Annotated Papers'!G:G, 'Annotated Papers'!A:A,A318)&gt;0,1,0))</f>
        <v>0</v>
      </c>
      <c r="F318">
        <f ca="1">IF(ISBLANK(A318), "", IF(SUMIFS('Annotated Papers'!H:H, 'Annotated Papers'!A:A,A318)&gt;0,1,0))</f>
        <v>1</v>
      </c>
      <c r="G318" t="e">
        <f ca="1">IF(ISBLANK(A318), "", IF(SUMIFS('Annotated Papers'!I:I, 'Annotated Papers'!A:A,A318)&gt;0,1,0))</f>
        <v>#NAME?</v>
      </c>
      <c r="H318">
        <f ca="1">IF(ISBLANK(A318), "", IF(SUMIFS('Annotated Papers'!L:L, 'Annotated Papers'!A:A,A318)&gt;0,1,0))</f>
        <v>1</v>
      </c>
    </row>
    <row r="319" spans="1:8" ht="14">
      <c r="A319" s="25" t="str">
        <f ca="1">IFERROR(__xludf.DUMMYFUNCTION("""COMPUTED_VALUE"""),"Tensorized Projection for High-Dimensional Binary Embedding")</f>
        <v>Tensorized Projection for High-Dimensional Binary Embedding</v>
      </c>
      <c r="B319" t="str">
        <f ca="1">IF(ISBLANK(A319), "", VLOOKUP(A319,'Annotated Papers'!318:1357,2,FALSE))</f>
        <v>General</v>
      </c>
      <c r="C319" s="24">
        <f ca="1">IF(ISBLANK(A319), "", VLOOKUP(A319,'Annotated Papers'!318:1357,5,FALSE))</f>
        <v>1</v>
      </c>
      <c r="D319">
        <f ca="1">IF(ISBLANK(A319), "", IF(COUNTIF('Annotated Papers'!A:A,A319)&gt;1,1,0))</f>
        <v>1</v>
      </c>
      <c r="E319">
        <f ca="1">IF(ISBLANK(A319), "", IF(SUMIFS('Annotated Papers'!G:G, 'Annotated Papers'!A:A,A319)&gt;0,1,0))</f>
        <v>0</v>
      </c>
      <c r="F319">
        <f ca="1">IF(ISBLANK(A319), "", IF(SUMIFS('Annotated Papers'!H:H, 'Annotated Papers'!A:A,A319)&gt;0,1,0))</f>
        <v>1</v>
      </c>
      <c r="G319" t="e">
        <f ca="1">IF(ISBLANK(A319), "", IF(SUMIFS('Annotated Papers'!I:I, 'Annotated Papers'!A:A,A319)&gt;0,1,0))</f>
        <v>#NAME?</v>
      </c>
      <c r="H319">
        <f ca="1">IF(ISBLANK(A319), "", IF(SUMIFS('Annotated Papers'!L:L, 'Annotated Papers'!A:A,A319)&gt;0,1,0))</f>
        <v>0</v>
      </c>
    </row>
    <row r="320" spans="1:8" ht="14">
      <c r="A320" s="25" t="str">
        <f ca="1">IFERROR(__xludf.DUMMYFUNCTION("""COMPUTED_VALUE"""),"Structured Variational Learning of Bayesian Neural Networks with Horseshoe Priors")</f>
        <v>Structured Variational Learning of Bayesian Neural Networks with Horseshoe Priors</v>
      </c>
      <c r="B320" t="str">
        <f ca="1">IF(ISBLANK(A320), "", VLOOKUP(A320,'Annotated Papers'!319:1358,2,FALSE))</f>
        <v>General</v>
      </c>
      <c r="C320" s="24">
        <f ca="1">IF(ISBLANK(A320), "", VLOOKUP(A320,'Annotated Papers'!319:1358,5,FALSE))</f>
        <v>0</v>
      </c>
      <c r="D320">
        <f ca="1">IF(ISBLANK(A320), "", IF(COUNTIF('Annotated Papers'!A:A,A320)&gt;1,1,0))</f>
        <v>0</v>
      </c>
      <c r="E320">
        <f ca="1">IF(ISBLANK(A320), "", IF(SUMIFS('Annotated Papers'!G:G, 'Annotated Papers'!A:A,A320)&gt;0,1,0))</f>
        <v>0</v>
      </c>
      <c r="F320">
        <f ca="1">IF(ISBLANK(A320), "", IF(SUMIFS('Annotated Papers'!H:H, 'Annotated Papers'!A:A,A320)&gt;0,1,0))</f>
        <v>1</v>
      </c>
      <c r="G320" t="e">
        <f ca="1">IF(ISBLANK(A320), "", IF(SUMIFS('Annotated Papers'!I:I, 'Annotated Papers'!A:A,A320)&gt;0,1,0))</f>
        <v>#NAME?</v>
      </c>
      <c r="H320">
        <f ca="1">IF(ISBLANK(A320), "", IF(SUMIFS('Annotated Papers'!L:L, 'Annotated Papers'!A:A,A320)&gt;0,1,0))</f>
        <v>0</v>
      </c>
    </row>
    <row r="321" spans="1:8" ht="14">
      <c r="A321" s="25" t="str">
        <f ca="1">IFERROR(__xludf.DUMMYFUNCTION("""COMPUTED_VALUE"""),"Predicting Aesthetic Score Distribution Through Cumulative Jensen-Shannon Divergence")</f>
        <v>Predicting Aesthetic Score Distribution Through Cumulative Jensen-Shannon Divergence</v>
      </c>
      <c r="B321" t="str">
        <f ca="1">IF(ISBLANK(A321), "", VLOOKUP(A321,'Annotated Papers'!320:1359,2,FALSE))</f>
        <v>General</v>
      </c>
      <c r="C321" s="24">
        <f ca="1">IF(ISBLANK(A321), "", VLOOKUP(A321,'Annotated Papers'!320:1359,5,FALSE))</f>
        <v>0</v>
      </c>
      <c r="D321">
        <f ca="1">IF(ISBLANK(A321), "", IF(COUNTIF('Annotated Papers'!A:A,A321)&gt;1,1,0))</f>
        <v>0</v>
      </c>
      <c r="E321">
        <f ca="1">IF(ISBLANK(A321), "", IF(SUMIFS('Annotated Papers'!G:G, 'Annotated Papers'!A:A,A321)&gt;0,1,0))</f>
        <v>0</v>
      </c>
      <c r="F321">
        <f ca="1">IF(ISBLANK(A321), "", IF(SUMIFS('Annotated Papers'!H:H, 'Annotated Papers'!A:A,A321)&gt;0,1,0))</f>
        <v>1</v>
      </c>
      <c r="G321" t="e">
        <f ca="1">IF(ISBLANK(A321), "", IF(SUMIFS('Annotated Papers'!I:I, 'Annotated Papers'!A:A,A321)&gt;0,1,0))</f>
        <v>#NAME?</v>
      </c>
      <c r="H321">
        <f ca="1">IF(ISBLANK(A321), "", IF(SUMIFS('Annotated Papers'!L:L, 'Annotated Papers'!A:A,A321)&gt;0,1,0))</f>
        <v>0</v>
      </c>
    </row>
    <row r="322" spans="1:8" ht="14">
      <c r="A322" s="25" t="str">
        <f ca="1">IFERROR(__xludf.DUMMYFUNCTION("""COMPUTED_VALUE"""),"Norm Conflict Resolution in Stochastic Domains")</f>
        <v>Norm Conflict Resolution in Stochastic Domains</v>
      </c>
      <c r="B322" t="str">
        <f ca="1">IF(ISBLANK(A322), "", VLOOKUP(A322,'Annotated Papers'!321:1360,2,FALSE))</f>
        <v>General</v>
      </c>
      <c r="C322" s="24">
        <f ca="1">IF(ISBLANK(A322), "", VLOOKUP(A322,'Annotated Papers'!321:1360,5,FALSE))</f>
        <v>0</v>
      </c>
      <c r="D322">
        <f ca="1">IF(ISBLANK(A322), "", IF(COUNTIF('Annotated Papers'!A:A,A322)&gt;1,1,0))</f>
        <v>0</v>
      </c>
      <c r="E322">
        <f ca="1">IF(ISBLANK(A322), "", IF(SUMIFS('Annotated Papers'!G:G, 'Annotated Papers'!A:A,A322)&gt;0,1,0))</f>
        <v>0</v>
      </c>
      <c r="F322">
        <f ca="1">IF(ISBLANK(A322), "", IF(SUMIFS('Annotated Papers'!H:H, 'Annotated Papers'!A:A,A322)&gt;0,1,0))</f>
        <v>0</v>
      </c>
      <c r="G322">
        <f ca="1">IF(ISBLANK(A322), "", IF(SUMIFS('Annotated Papers'!I:I, 'Annotated Papers'!A:A,A322)&gt;0,1,0))</f>
        <v>0</v>
      </c>
      <c r="H322">
        <f ca="1">IF(ISBLANK(A322), "", IF(SUMIFS('Annotated Papers'!L:L, 'Annotated Papers'!A:A,A322)&gt;0,1,0))</f>
        <v>0</v>
      </c>
    </row>
    <row r="323" spans="1:8" ht="14">
      <c r="A323" s="25" t="str">
        <f ca="1">IFERROR(__xludf.DUMMYFUNCTION("""COMPUTED_VALUE"""),"Deep Representation-Decoupling Neural Networks for Monaural Music Mixture Separation")</f>
        <v>Deep Representation-Decoupling Neural Networks for Monaural Music Mixture Separation</v>
      </c>
      <c r="B323" t="str">
        <f ca="1">IF(ISBLANK(A323), "", VLOOKUP(A323,'Annotated Papers'!322:1361,2,FALSE))</f>
        <v>General</v>
      </c>
      <c r="C323" s="24">
        <f ca="1">IF(ISBLANK(A323), "", VLOOKUP(A323,'Annotated Papers'!322:1361,5,FALSE))</f>
        <v>0</v>
      </c>
      <c r="D323">
        <f ca="1">IF(ISBLANK(A323), "", IF(COUNTIF('Annotated Papers'!A:A,A323)&gt;1,1,0))</f>
        <v>0</v>
      </c>
      <c r="E323">
        <f ca="1">IF(ISBLANK(A323), "", IF(SUMIFS('Annotated Papers'!G:G, 'Annotated Papers'!A:A,A323)&gt;0,1,0))</f>
        <v>0</v>
      </c>
      <c r="F323">
        <f ca="1">IF(ISBLANK(A323), "", IF(SUMIFS('Annotated Papers'!H:H, 'Annotated Papers'!A:A,A323)&gt;0,1,0))</f>
        <v>1</v>
      </c>
      <c r="G323" t="e">
        <f ca="1">IF(ISBLANK(A323), "", IF(SUMIFS('Annotated Papers'!I:I, 'Annotated Papers'!A:A,A323)&gt;0,1,0))</f>
        <v>#NAME?</v>
      </c>
      <c r="H323">
        <f ca="1">IF(ISBLANK(A323), "", IF(SUMIFS('Annotated Papers'!L:L, 'Annotated Papers'!A:A,A323)&gt;0,1,0))</f>
        <v>0</v>
      </c>
    </row>
    <row r="324" spans="1:8" ht="14">
      <c r="A324" s="25" t="str">
        <f ca="1">IFERROR(__xludf.DUMMYFUNCTION("""COMPUTED_VALUE"""),"Early Prediction of Diabetes Complications from Electronic Health Records: A Multi-Task Survival Analysis Approach")</f>
        <v>Early Prediction of Diabetes Complications from Electronic Health Records: A Multi-Task Survival Analysis Approach</v>
      </c>
      <c r="B324" t="str">
        <f ca="1">IF(ISBLANK(A324), "", VLOOKUP(A324,'Annotated Papers'!323:1362,2,FALSE))</f>
        <v>General, ML4H</v>
      </c>
      <c r="C324" s="24">
        <f ca="1">IF(ISBLANK(A324), "", VLOOKUP(A324,'Annotated Papers'!323:1362,5,FALSE))</f>
        <v>0</v>
      </c>
      <c r="D324">
        <f ca="1">IF(ISBLANK(A324), "", IF(COUNTIF('Annotated Papers'!A:A,A324)&gt;1,1,0))</f>
        <v>0</v>
      </c>
      <c r="E324">
        <f ca="1">IF(ISBLANK(A324), "", IF(SUMIFS('Annotated Papers'!G:G, 'Annotated Papers'!A:A,A324)&gt;0,1,0))</f>
        <v>1</v>
      </c>
      <c r="F324">
        <f ca="1">IF(ISBLANK(A324), "", IF(SUMIFS('Annotated Papers'!H:H, 'Annotated Papers'!A:A,A324)&gt;0,1,0))</f>
        <v>0</v>
      </c>
      <c r="G324" t="e">
        <f ca="1">IF(ISBLANK(A324), "", IF(SUMIFS('Annotated Papers'!I:I, 'Annotated Papers'!A:A,A324)&gt;0,1,0))</f>
        <v>#NAME?</v>
      </c>
      <c r="H324">
        <f ca="1">IF(ISBLANK(A324), "", IF(SUMIFS('Annotated Papers'!L:L, 'Annotated Papers'!A:A,A324)&gt;0,1,0))</f>
        <v>0</v>
      </c>
    </row>
    <row r="325" spans="1:8" ht="14">
      <c r="A325" s="25" t="str">
        <f ca="1">IFERROR(__xludf.DUMMYFUNCTION("""COMPUTED_VALUE"""),"Rumor Detection on Twitter with Tree-structured Recursive Neural Networks")</f>
        <v>Rumor Detection on Twitter with Tree-structured Recursive Neural Networks</v>
      </c>
      <c r="B325" t="str">
        <f ca="1">IF(ISBLANK(A325), "", VLOOKUP(A325,'Annotated Papers'!324:1363,2,FALSE))</f>
        <v>NLP</v>
      </c>
      <c r="C325" s="24">
        <f ca="1">IF(ISBLANK(A325), "", VLOOKUP(A325,'Annotated Papers'!324:1363,5,FALSE))</f>
        <v>1</v>
      </c>
      <c r="D325">
        <f ca="1">IF(ISBLANK(A325), "", IF(COUNTIF('Annotated Papers'!A:A,A325)&gt;1,1,0))</f>
        <v>1</v>
      </c>
      <c r="E325">
        <f ca="1">IF(ISBLANK(A325), "", IF(SUMIFS('Annotated Papers'!G:G, 'Annotated Papers'!A:A,A325)&gt;0,1,0))</f>
        <v>0</v>
      </c>
      <c r="F325">
        <f ca="1">IF(ISBLANK(A325), "", IF(SUMIFS('Annotated Papers'!H:H, 'Annotated Papers'!A:A,A325)&gt;0,1,0))</f>
        <v>1</v>
      </c>
      <c r="G325" t="e">
        <f ca="1">IF(ISBLANK(A325), "", IF(SUMIFS('Annotated Papers'!I:I, 'Annotated Papers'!A:A,A325)&gt;0,1,0))</f>
        <v>#NAME?</v>
      </c>
      <c r="H325">
        <f ca="1">IF(ISBLANK(A325), "", IF(SUMIFS('Annotated Papers'!L:L, 'Annotated Papers'!A:A,A325)&gt;0,1,0))</f>
        <v>0</v>
      </c>
    </row>
    <row r="326" spans="1:8" ht="14">
      <c r="A326" s="25" t="str">
        <f ca="1">IFERROR(__xludf.DUMMYFUNCTION("""COMPUTED_VALUE"""),"
Learning the Joint Representation of Heterogeneous Temporal Events for Clinical Endpoint Prediction")</f>
        <v xml:space="preserve">
Learning the Joint Representation of Heterogeneous Temporal Events for Clinical Endpoint Prediction</v>
      </c>
      <c r="B326" t="str">
        <f ca="1">IF(ISBLANK(A326), "", VLOOKUP(A326,'Annotated Papers'!325:1364,2,FALSE))</f>
        <v>General, ML4H</v>
      </c>
      <c r="C326" s="24">
        <f ca="1">IF(ISBLANK(A326), "", VLOOKUP(A326,'Annotated Papers'!325:1364,5,FALSE))</f>
        <v>0</v>
      </c>
      <c r="D326">
        <f ca="1">IF(ISBLANK(A326), "", IF(COUNTIF('Annotated Papers'!A:A,A326)&gt;1,1,0))</f>
        <v>0</v>
      </c>
      <c r="E326">
        <f ca="1">IF(ISBLANK(A326), "", IF(SUMIFS('Annotated Papers'!G:G, 'Annotated Papers'!A:A,A326)&gt;0,1,0))</f>
        <v>1</v>
      </c>
      <c r="F326">
        <f ca="1">IF(ISBLANK(A326), "", IF(SUMIFS('Annotated Papers'!H:H, 'Annotated Papers'!A:A,A326)&gt;0,1,0))</f>
        <v>1</v>
      </c>
      <c r="G326" t="e">
        <f ca="1">IF(ISBLANK(A326), "", IF(SUMIFS('Annotated Papers'!I:I, 'Annotated Papers'!A:A,A326)&gt;0,1,0))</f>
        <v>#NAME?</v>
      </c>
      <c r="H326">
        <f ca="1">IF(ISBLANK(A326), "", IF(SUMIFS('Annotated Papers'!L:L, 'Annotated Papers'!A:A,A326)&gt;0,1,0))</f>
        <v>1</v>
      </c>
    </row>
    <row r="327" spans="1:8" ht="14">
      <c r="A327" s="25" t="str">
        <f ca="1">IFERROR(__xludf.DUMMYFUNCTION("""COMPUTED_VALUE"""),"Triangular Architecture for Rare Language Translation")</f>
        <v>Triangular Architecture for Rare Language Translation</v>
      </c>
      <c r="B327" t="str">
        <f ca="1">IF(ISBLANK(A327), "", VLOOKUP(A327,'Annotated Papers'!326:1365,2,FALSE))</f>
        <v>NLP</v>
      </c>
      <c r="C327" s="24">
        <f ca="1">IF(ISBLANK(A327), "", VLOOKUP(A327,'Annotated Papers'!326:1365,5,FALSE))</f>
        <v>0</v>
      </c>
      <c r="D327">
        <f ca="1">IF(ISBLANK(A327), "", IF(COUNTIF('Annotated Papers'!A:A,A327)&gt;1,1,0))</f>
        <v>1</v>
      </c>
      <c r="E327">
        <f ca="1">IF(ISBLANK(A327), "", IF(SUMIFS('Annotated Papers'!G:G, 'Annotated Papers'!A:A,A327)&gt;0,1,0))</f>
        <v>0</v>
      </c>
      <c r="F327">
        <f ca="1">IF(ISBLANK(A327), "", IF(SUMIFS('Annotated Papers'!H:H, 'Annotated Papers'!A:A,A327)&gt;0,1,0))</f>
        <v>1</v>
      </c>
      <c r="G327" t="e">
        <f ca="1">IF(ISBLANK(A327), "", IF(SUMIFS('Annotated Papers'!I:I, 'Annotated Papers'!A:A,A327)&gt;0,1,0))</f>
        <v>#NAME?</v>
      </c>
      <c r="H327">
        <f ca="1">IF(ISBLANK(A327), "", IF(SUMIFS('Annotated Papers'!L:L, 'Annotated Papers'!A:A,A327)&gt;0,1,0))</f>
        <v>0</v>
      </c>
    </row>
    <row r="328" spans="1:8" ht="14">
      <c r="A328" s="25" t="str">
        <f ca="1">IFERROR(__xludf.DUMMYFUNCTION("""COMPUTED_VALUE"""),"A Neural Architecture for Automated ICD Coding")</f>
        <v>A Neural Architecture for Automated ICD Coding</v>
      </c>
      <c r="B328" t="str">
        <f ca="1">IF(ISBLANK(A328), "", VLOOKUP(A328,'Annotated Papers'!327:1366,2,FALSE))</f>
        <v>NLP, ML4H</v>
      </c>
      <c r="C328" s="24">
        <f ca="1">IF(ISBLANK(A328), "", VLOOKUP(A328,'Annotated Papers'!327:1366,5,FALSE))</f>
        <v>0</v>
      </c>
      <c r="D328">
        <f ca="1">IF(ISBLANK(A328), "", IF(COUNTIF('Annotated Papers'!A:A,A328)&gt;1,1,0))</f>
        <v>0</v>
      </c>
      <c r="E328">
        <f ca="1">IF(ISBLANK(A328), "", IF(SUMIFS('Annotated Papers'!G:G, 'Annotated Papers'!A:A,A328)&gt;0,1,0))</f>
        <v>1</v>
      </c>
      <c r="F328">
        <f ca="1">IF(ISBLANK(A328), "", IF(SUMIFS('Annotated Papers'!H:H, 'Annotated Papers'!A:A,A328)&gt;0,1,0))</f>
        <v>1</v>
      </c>
      <c r="G328" t="e">
        <f ca="1">IF(ISBLANK(A328), "", IF(SUMIFS('Annotated Papers'!I:I, 'Annotated Papers'!A:A,A328)&gt;0,1,0))</f>
        <v>#NAME?</v>
      </c>
      <c r="H328">
        <f ca="1">IF(ISBLANK(A328), "", IF(SUMIFS('Annotated Papers'!L:L, 'Annotated Papers'!A:A,A328)&gt;0,1,0))</f>
        <v>0</v>
      </c>
    </row>
    <row r="329" spans="1:8" ht="14">
      <c r="A329" s="25" t="str">
        <f ca="1">IFERROR(__xludf.DUMMYFUNCTION("""COMPUTED_VALUE"""),"Ultra-Fine Entity Typing
")</f>
        <v xml:space="preserve">Ultra-Fine Entity Typing
</v>
      </c>
      <c r="B329" t="str">
        <f ca="1">IF(ISBLANK(A329), "", VLOOKUP(A329,'Annotated Papers'!328:1367,2,FALSE))</f>
        <v>NLP</v>
      </c>
      <c r="C329" s="24">
        <f ca="1">IF(ISBLANK(A329), "", VLOOKUP(A329,'Annotated Papers'!328:1367,5,FALSE))</f>
        <v>1</v>
      </c>
      <c r="D329">
        <f ca="1">IF(ISBLANK(A329), "", IF(COUNTIF('Annotated Papers'!A:A,A329)&gt;1,1,0))</f>
        <v>0</v>
      </c>
      <c r="E329">
        <f ca="1">IF(ISBLANK(A329), "", IF(SUMIFS('Annotated Papers'!G:G, 'Annotated Papers'!A:A,A329)&gt;0,1,0))</f>
        <v>0</v>
      </c>
      <c r="F329">
        <f ca="1">IF(ISBLANK(A329), "", IF(SUMIFS('Annotated Papers'!H:H, 'Annotated Papers'!A:A,A329)&gt;0,1,0))</f>
        <v>1</v>
      </c>
      <c r="G329" t="e">
        <f ca="1">IF(ISBLANK(A329), "", IF(SUMIFS('Annotated Papers'!I:I, 'Annotated Papers'!A:A,A329)&gt;0,1,0))</f>
        <v>#NAME?</v>
      </c>
      <c r="H329">
        <f ca="1">IF(ISBLANK(A329), "", IF(SUMIFS('Annotated Papers'!L:L, 'Annotated Papers'!A:A,A329)&gt;0,1,0))</f>
        <v>0</v>
      </c>
    </row>
    <row r="330" spans="1:8" ht="14">
      <c r="A330" s="25" t="str">
        <f ca="1">IFERROR(__xludf.DUMMYFUNCTION("""COMPUTED_VALUE"""),"Coherence-Aware Neural Topic Modeling")</f>
        <v>Coherence-Aware Neural Topic Modeling</v>
      </c>
      <c r="B330" t="str">
        <f ca="1">IF(ISBLANK(A330), "", VLOOKUP(A330,'Annotated Papers'!329:1368,2,FALSE))</f>
        <v>NLP</v>
      </c>
      <c r="C330" s="24">
        <f ca="1">IF(ISBLANK(A330), "", VLOOKUP(A330,'Annotated Papers'!329:1368,5,FALSE))</f>
        <v>0</v>
      </c>
      <c r="D330">
        <f ca="1">IF(ISBLANK(A330), "", IF(COUNTIF('Annotated Papers'!A:A,A330)&gt;1,1,0))</f>
        <v>1</v>
      </c>
      <c r="E330">
        <f ca="1">IF(ISBLANK(A330), "", IF(SUMIFS('Annotated Papers'!G:G, 'Annotated Papers'!A:A,A330)&gt;0,1,0))</f>
        <v>0</v>
      </c>
      <c r="F330">
        <f ca="1">IF(ISBLANK(A330), "", IF(SUMIFS('Annotated Papers'!H:H, 'Annotated Papers'!A:A,A330)&gt;0,1,0))</f>
        <v>1</v>
      </c>
      <c r="G330" t="e">
        <f ca="1">IF(ISBLANK(A330), "", IF(SUMIFS('Annotated Papers'!I:I, 'Annotated Papers'!A:A,A330)&gt;0,1,0))</f>
        <v>#NAME?</v>
      </c>
      <c r="H330">
        <f ca="1">IF(ISBLANK(A330), "", IF(SUMIFS('Annotated Papers'!L:L, 'Annotated Papers'!A:A,A330)&gt;0,1,0))</f>
        <v>0</v>
      </c>
    </row>
    <row r="331" spans="1:8" ht="14">
      <c r="A331" s="25" t="str">
        <f ca="1">IFERROR(__xludf.DUMMYFUNCTION("""COMPUTED_VALUE"""),"Fluency Boost Learning and Inference for
Neural Grammatical Error Correction")</f>
        <v>Fluency Boost Learning and Inference for
Neural Grammatical Error Correction</v>
      </c>
      <c r="B331" t="str">
        <f ca="1">IF(ISBLANK(A331), "", VLOOKUP(A331,'Annotated Papers'!330:1369,2,FALSE))</f>
        <v>NLP</v>
      </c>
      <c r="C331" s="24">
        <f ca="1">IF(ISBLANK(A331), "", VLOOKUP(A331,'Annotated Papers'!330:1369,5,FALSE))</f>
        <v>0</v>
      </c>
      <c r="D331">
        <f ca="1">IF(ISBLANK(A331), "", IF(COUNTIF('Annotated Papers'!A:A,A331)&gt;1,1,0))</f>
        <v>1</v>
      </c>
      <c r="E331">
        <f ca="1">IF(ISBLANK(A331), "", IF(SUMIFS('Annotated Papers'!G:G, 'Annotated Papers'!A:A,A331)&gt;0,1,0))</f>
        <v>0</v>
      </c>
      <c r="F331">
        <f ca="1">IF(ISBLANK(A331), "", IF(SUMIFS('Annotated Papers'!H:H, 'Annotated Papers'!A:A,A331)&gt;0,1,0))</f>
        <v>1</v>
      </c>
      <c r="G331" t="e">
        <f ca="1">IF(ISBLANK(A331), "", IF(SUMIFS('Annotated Papers'!I:I, 'Annotated Papers'!A:A,A331)&gt;0,1,0))</f>
        <v>#NAME?</v>
      </c>
      <c r="H331">
        <f ca="1">IF(ISBLANK(A331), "", IF(SUMIFS('Annotated Papers'!L:L, 'Annotated Papers'!A:A,A331)&gt;0,1,0))</f>
        <v>1</v>
      </c>
    </row>
    <row r="332" spans="1:8" ht="14">
      <c r="A332" s="25" t="str">
        <f ca="1">IFERROR(__xludf.DUMMYFUNCTION("""COMPUTED_VALUE"""),"Neural Argument Generation Augmented with Externally Retrieved Evidence")</f>
        <v>Neural Argument Generation Augmented with Externally Retrieved Evidence</v>
      </c>
      <c r="B332" t="str">
        <f ca="1">IF(ISBLANK(A332), "", VLOOKUP(A332,'Annotated Papers'!331:1370,2,FALSE))</f>
        <v>NLP</v>
      </c>
      <c r="C332" s="24">
        <f ca="1">IF(ISBLANK(A332), "", VLOOKUP(A332,'Annotated Papers'!331:1370,5,FALSE))</f>
        <v>1</v>
      </c>
      <c r="D332">
        <f ca="1">IF(ISBLANK(A332), "", IF(COUNTIF('Annotated Papers'!A:A,A332)&gt;1,1,0))</f>
        <v>0</v>
      </c>
      <c r="E332">
        <f ca="1">IF(ISBLANK(A332), "", IF(SUMIFS('Annotated Papers'!G:G, 'Annotated Papers'!A:A,A332)&gt;0,1,0))</f>
        <v>0</v>
      </c>
      <c r="F332">
        <f ca="1">IF(ISBLANK(A332), "", IF(SUMIFS('Annotated Papers'!H:H, 'Annotated Papers'!A:A,A332)&gt;0,1,0))</f>
        <v>1</v>
      </c>
      <c r="G332" t="e">
        <f ca="1">IF(ISBLANK(A332), "", IF(SUMIFS('Annotated Papers'!I:I, 'Annotated Papers'!A:A,A332)&gt;0,1,0))</f>
        <v>#NAME?</v>
      </c>
      <c r="H332">
        <f ca="1">IF(ISBLANK(A332), "", IF(SUMIFS('Annotated Papers'!L:L, 'Annotated Papers'!A:A,A332)&gt;0,1,0))</f>
        <v>1</v>
      </c>
    </row>
    <row r="333" spans="1:8" ht="14">
      <c r="A333" s="25" t="str">
        <f ca="1">IFERROR(__xludf.DUMMYFUNCTION("""COMPUTED_VALUE"""),"An Empirical Study of Building a Strong Baseline for Constituency Parsing")</f>
        <v>An Empirical Study of Building a Strong Baseline for Constituency Parsing</v>
      </c>
      <c r="B333" t="str">
        <f ca="1">IF(ISBLANK(A333), "", VLOOKUP(A333,'Annotated Papers'!332:1371,2,FALSE))</f>
        <v>NLP</v>
      </c>
      <c r="C333" s="24">
        <f ca="1">IF(ISBLANK(A333), "", VLOOKUP(A333,'Annotated Papers'!332:1371,5,FALSE))</f>
        <v>1</v>
      </c>
      <c r="D333">
        <f ca="1">IF(ISBLANK(A333), "", IF(COUNTIF('Annotated Papers'!A:A,A333)&gt;1,1,0))</f>
        <v>0</v>
      </c>
      <c r="E333">
        <f ca="1">IF(ISBLANK(A333), "", IF(SUMIFS('Annotated Papers'!G:G, 'Annotated Papers'!A:A,A333)&gt;0,1,0))</f>
        <v>0</v>
      </c>
      <c r="F333">
        <f ca="1">IF(ISBLANK(A333), "", IF(SUMIFS('Annotated Papers'!H:H, 'Annotated Papers'!A:A,A333)&gt;0,1,0))</f>
        <v>1</v>
      </c>
      <c r="G333" t="e">
        <f ca="1">IF(ISBLANK(A333), "", IF(SUMIFS('Annotated Papers'!I:I, 'Annotated Papers'!A:A,A333)&gt;0,1,0))</f>
        <v>#NAME?</v>
      </c>
      <c r="H333">
        <f ca="1">IF(ISBLANK(A333), "", IF(SUMIFS('Annotated Papers'!L:L, 'Annotated Papers'!A:A,A333)&gt;0,1,0))</f>
        <v>1</v>
      </c>
    </row>
    <row r="334" spans="1:8" ht="14">
      <c r="A334" s="25" t="str">
        <f ca="1">IFERROR(__xludf.DUMMYFUNCTION("""COMPUTED_VALUE"""),"Coherence Modeling of Asynchronous Conversations: A Neural Entity Grid Approach")</f>
        <v>Coherence Modeling of Asynchronous Conversations: A Neural Entity Grid Approach</v>
      </c>
      <c r="B334" t="str">
        <f ca="1">IF(ISBLANK(A334), "", VLOOKUP(A334,'Annotated Papers'!333:1372,2,FALSE))</f>
        <v>NLP</v>
      </c>
      <c r="C334" s="24">
        <f ca="1">IF(ISBLANK(A334), "", VLOOKUP(A334,'Annotated Papers'!333:1372,5,FALSE))</f>
        <v>1</v>
      </c>
      <c r="D334">
        <f ca="1">IF(ISBLANK(A334), "", IF(COUNTIF('Annotated Papers'!A:A,A334)&gt;1,1,0))</f>
        <v>1</v>
      </c>
      <c r="E334">
        <f ca="1">IF(ISBLANK(A334), "", IF(SUMIFS('Annotated Papers'!G:G, 'Annotated Papers'!A:A,A334)&gt;0,1,0))</f>
        <v>0</v>
      </c>
      <c r="F334">
        <f ca="1">IF(ISBLANK(A334), "", IF(SUMIFS('Annotated Papers'!H:H, 'Annotated Papers'!A:A,A334)&gt;0,1,0))</f>
        <v>1</v>
      </c>
      <c r="G334" t="e">
        <f ca="1">IF(ISBLANK(A334), "", IF(SUMIFS('Annotated Papers'!I:I, 'Annotated Papers'!A:A,A334)&gt;0,1,0))</f>
        <v>#NAME?</v>
      </c>
      <c r="H334">
        <f ca="1">IF(ISBLANK(A334), "", IF(SUMIFS('Annotated Papers'!L:L, 'Annotated Papers'!A:A,A334)&gt;0,1,0))</f>
        <v>1</v>
      </c>
    </row>
    <row r="335" spans="1:8" ht="14">
      <c r="A335" s="25" t="str">
        <f ca="1">IFERROR(__xludf.DUMMYFUNCTION("""COMPUTED_VALUE"""),"Soft Layer-Specific Multi-Task Summarization with Entailment and Question Generation")</f>
        <v>Soft Layer-Specific Multi-Task Summarization with Entailment and Question Generation</v>
      </c>
      <c r="B335" t="str">
        <f ca="1">IF(ISBLANK(A335), "", VLOOKUP(A335,'Annotated Papers'!334:1373,2,FALSE))</f>
        <v>NLP</v>
      </c>
      <c r="C335" s="24">
        <f ca="1">IF(ISBLANK(A335), "", VLOOKUP(A335,'Annotated Papers'!334:1373,5,FALSE))</f>
        <v>0</v>
      </c>
      <c r="D335">
        <f ca="1">IF(ISBLANK(A335), "", IF(COUNTIF('Annotated Papers'!A:A,A335)&gt;1,1,0))</f>
        <v>1</v>
      </c>
      <c r="E335">
        <f ca="1">IF(ISBLANK(A335), "", IF(SUMIFS('Annotated Papers'!G:G, 'Annotated Papers'!A:A,A335)&gt;0,1,0))</f>
        <v>0</v>
      </c>
      <c r="F335">
        <f ca="1">IF(ISBLANK(A335), "", IF(SUMIFS('Annotated Papers'!H:H, 'Annotated Papers'!A:A,A335)&gt;0,1,0))</f>
        <v>1</v>
      </c>
      <c r="G335" t="e">
        <f ca="1">IF(ISBLANK(A335), "", IF(SUMIFS('Annotated Papers'!I:I, 'Annotated Papers'!A:A,A335)&gt;0,1,0))</f>
        <v>#NAME?</v>
      </c>
      <c r="H335">
        <f ca="1">IF(ISBLANK(A335), "", IF(SUMIFS('Annotated Papers'!L:L, 'Annotated Papers'!A:A,A335)&gt;0,1,0))</f>
        <v>1</v>
      </c>
    </row>
    <row r="336" spans="1:8" ht="14">
      <c r="A336" s="25" t="str">
        <f ca="1">IFERROR(__xludf.DUMMYFUNCTION("""COMPUTED_VALUE"""),"Give Me More Feedback: Annotating Argument Persuasiveness and Related Attributes in Student Essays")</f>
        <v>Give Me More Feedback: Annotating Argument Persuasiveness and Related Attributes in Student Essays</v>
      </c>
      <c r="B336" t="str">
        <f ca="1">IF(ISBLANK(A336), "", VLOOKUP(A336,'Annotated Papers'!335:1374,2,FALSE))</f>
        <v>NLP</v>
      </c>
      <c r="C336" s="24">
        <f ca="1">IF(ISBLANK(A336), "", VLOOKUP(A336,'Annotated Papers'!335:1374,5,FALSE))</f>
        <v>0</v>
      </c>
      <c r="D336">
        <f ca="1">IF(ISBLANK(A336), "", IF(COUNTIF('Annotated Papers'!A:A,A336)&gt;1,1,0))</f>
        <v>0</v>
      </c>
      <c r="E336">
        <f ca="1">IF(ISBLANK(A336), "", IF(SUMIFS('Annotated Papers'!G:G, 'Annotated Papers'!A:A,A336)&gt;0,1,0))</f>
        <v>0</v>
      </c>
      <c r="F336">
        <f ca="1">IF(ISBLANK(A336), "", IF(SUMIFS('Annotated Papers'!H:H, 'Annotated Papers'!A:A,A336)&gt;0,1,0))</f>
        <v>1</v>
      </c>
      <c r="G336" t="e">
        <f ca="1">IF(ISBLANK(A336), "", IF(SUMIFS('Annotated Papers'!I:I, 'Annotated Papers'!A:A,A336)&gt;0,1,0))</f>
        <v>#NAME?</v>
      </c>
      <c r="H336">
        <f ca="1">IF(ISBLANK(A336), "", IF(SUMIFS('Annotated Papers'!L:L, 'Annotated Papers'!A:A,A336)&gt;0,1,0))</f>
        <v>0</v>
      </c>
    </row>
    <row r="337" spans="1:8" ht="14">
      <c r="A337" s="26" t="str">
        <f ca="1">IFERROR(__xludf.DUMMYFUNCTION("""COMPUTED_VALUE"""),"Neural Automated Essay Scoring and Coherence Modeling for Adversarially Crafted Input")</f>
        <v>Neural Automated Essay Scoring and Coherence Modeling for Adversarially Crafted Input</v>
      </c>
      <c r="B337" t="str">
        <f ca="1">IF(ISBLANK(A337), "", VLOOKUP(A337,'Annotated Papers'!336:1375,2,FALSE))</f>
        <v>NLP</v>
      </c>
      <c r="C337" s="24">
        <f ca="1">IF(ISBLANK(A337), "", VLOOKUP(A337,'Annotated Papers'!336:1375,5,FALSE))</f>
        <v>1</v>
      </c>
      <c r="D337">
        <f ca="1">IF(ISBLANK(A337), "", IF(COUNTIF('Annotated Papers'!A:A,A337)&gt;1,1,0))</f>
        <v>1</v>
      </c>
      <c r="E337">
        <f ca="1">IF(ISBLANK(A337), "", IF(SUMIFS('Annotated Papers'!G:G, 'Annotated Papers'!A:A,A337)&gt;0,1,0))</f>
        <v>0</v>
      </c>
      <c r="F337">
        <f ca="1">IF(ISBLANK(A337), "", IF(SUMIFS('Annotated Papers'!H:H, 'Annotated Papers'!A:A,A337)&gt;0,1,0))</f>
        <v>1</v>
      </c>
      <c r="G337" t="e">
        <f ca="1">IF(ISBLANK(A337), "", IF(SUMIFS('Annotated Papers'!I:I, 'Annotated Papers'!A:A,A337)&gt;0,1,0))</f>
        <v>#NAME?</v>
      </c>
      <c r="H337">
        <f ca="1">IF(ISBLANK(A337), "", IF(SUMIFS('Annotated Papers'!L:L, 'Annotated Papers'!A:A,A337)&gt;0,1,0))</f>
        <v>1</v>
      </c>
    </row>
    <row r="338" spans="1:8" ht="14">
      <c r="A338" s="26" t="str">
        <f ca="1">IFERROR(__xludf.DUMMYFUNCTION("""COMPUTED_VALUE"""),"Tempo-Lexical Context Driven Word Embedding for Cross-Session Search Task Extraction")</f>
        <v>Tempo-Lexical Context Driven Word Embedding for Cross-Session Search Task Extraction</v>
      </c>
      <c r="B338" t="str">
        <f ca="1">IF(ISBLANK(A338), "", VLOOKUP(A338,'Annotated Papers'!337:1376,2,FALSE))</f>
        <v>NLP</v>
      </c>
      <c r="C338" s="24">
        <f ca="1">IF(ISBLANK(A338), "", VLOOKUP(A338,'Annotated Papers'!337:1376,5,FALSE))</f>
        <v>0</v>
      </c>
      <c r="D338">
        <f ca="1">IF(ISBLANK(A338), "", IF(COUNTIF('Annotated Papers'!A:A,A338)&gt;1,1,0))</f>
        <v>1</v>
      </c>
      <c r="E338">
        <f ca="1">IF(ISBLANK(A338), "", IF(SUMIFS('Annotated Papers'!G:G, 'Annotated Papers'!A:A,A338)&gt;0,1,0))</f>
        <v>0</v>
      </c>
      <c r="F338">
        <f ca="1">IF(ISBLANK(A338), "", IF(SUMIFS('Annotated Papers'!H:H, 'Annotated Papers'!A:A,A338)&gt;0,1,0))</f>
        <v>1</v>
      </c>
      <c r="G338" t="e">
        <f ca="1">IF(ISBLANK(A338), "", IF(SUMIFS('Annotated Papers'!I:I, 'Annotated Papers'!A:A,A338)&gt;0,1,0))</f>
        <v>#NAME?</v>
      </c>
      <c r="H338">
        <f ca="1">IF(ISBLANK(A338), "", IF(SUMIFS('Annotated Papers'!L:L, 'Annotated Papers'!A:A,A338)&gt;0,1,0))</f>
        <v>1</v>
      </c>
    </row>
    <row r="339" spans="1:8" ht="14">
      <c r="A339" s="26" t="str">
        <f ca="1">IFERROR(__xludf.DUMMYFUNCTION("""COMPUTED_VALUE"""),"QuickEdit: Editing Text &amp; Translations by Crossing Words Out")</f>
        <v>QuickEdit: Editing Text &amp; Translations by Crossing Words Out</v>
      </c>
      <c r="B339" t="str">
        <f ca="1">IF(ISBLANK(A339), "", VLOOKUP(A339,'Annotated Papers'!338:1377,2,FALSE))</f>
        <v>NLP</v>
      </c>
      <c r="C339" s="24">
        <f ca="1">IF(ISBLANK(A339), "", VLOOKUP(A339,'Annotated Papers'!338:1377,5,FALSE))</f>
        <v>0</v>
      </c>
      <c r="D339">
        <f ca="1">IF(ISBLANK(A339), "", IF(COUNTIF('Annotated Papers'!A:A,A339)&gt;1,1,0))</f>
        <v>1</v>
      </c>
      <c r="E339">
        <f ca="1">IF(ISBLANK(A339), "", IF(SUMIFS('Annotated Papers'!G:G, 'Annotated Papers'!A:A,A339)&gt;0,1,0))</f>
        <v>0</v>
      </c>
      <c r="F339">
        <f ca="1">IF(ISBLANK(A339), "", IF(SUMIFS('Annotated Papers'!H:H, 'Annotated Papers'!A:A,A339)&gt;0,1,0))</f>
        <v>1</v>
      </c>
      <c r="G339" t="e">
        <f ca="1">IF(ISBLANK(A339), "", IF(SUMIFS('Annotated Papers'!I:I, 'Annotated Papers'!A:A,A339)&gt;0,1,0))</f>
        <v>#NAME?</v>
      </c>
      <c r="H339">
        <f ca="1">IF(ISBLANK(A339), "", IF(SUMIFS('Annotated Papers'!L:L, 'Annotated Papers'!A:A,A339)&gt;0,1,0))</f>
        <v>0</v>
      </c>
    </row>
    <row r="340" spans="1:8" ht="14">
      <c r="A340" s="25" t="str">
        <f ca="1">IFERROR(__xludf.DUMMYFUNCTION("""COMPUTED_VALUE"""),"Algorithms for Hiring and Outsourcing in the Online Labor Market")</f>
        <v>Algorithms for Hiring and Outsourcing in the Online Labor Market</v>
      </c>
      <c r="B340" t="str">
        <f ca="1">IF(ISBLANK(A340), "", VLOOKUP(A340,'Annotated Papers'!339:1378,2,FALSE))</f>
        <v>General</v>
      </c>
      <c r="C340" s="24">
        <f ca="1">IF(ISBLANK(A340), "", VLOOKUP(A340,'Annotated Papers'!339:1378,5,FALSE))</f>
        <v>1</v>
      </c>
      <c r="D340">
        <f ca="1">IF(ISBLANK(A340), "", IF(COUNTIF('Annotated Papers'!A:A,A340)&gt;1,1,0))</f>
        <v>1</v>
      </c>
      <c r="E340">
        <f ca="1">IF(ISBLANK(A340), "", IF(SUMIFS('Annotated Papers'!G:G, 'Annotated Papers'!A:A,A340)&gt;0,1,0))</f>
        <v>0</v>
      </c>
      <c r="F340">
        <f ca="1">IF(ISBLANK(A340), "", IF(SUMIFS('Annotated Papers'!H:H, 'Annotated Papers'!A:A,A340)&gt;0,1,0))</f>
        <v>1</v>
      </c>
      <c r="G340" t="e">
        <f ca="1">IF(ISBLANK(A340), "", IF(SUMIFS('Annotated Papers'!I:I, 'Annotated Papers'!A:A,A340)&gt;0,1,0))</f>
        <v>#NAME?</v>
      </c>
      <c r="H340">
        <f ca="1">IF(ISBLANK(A340), "", IF(SUMIFS('Annotated Papers'!L:L, 'Annotated Papers'!A:A,A340)&gt;0,1,0))</f>
        <v>0</v>
      </c>
    </row>
    <row r="341" spans="1:8" ht="14">
      <c r="A341" s="25" t="str">
        <f ca="1">IFERROR(__xludf.DUMMYFUNCTION("""COMPUTED_VALUE"""),"Scalable Spectral Clustering Using Random Binning Features")</f>
        <v>Scalable Spectral Clustering Using Random Binning Features</v>
      </c>
      <c r="B341" t="str">
        <f ca="1">IF(ISBLANK(A341), "", VLOOKUP(A341,'Annotated Papers'!340:1379,2,FALSE))</f>
        <v>General</v>
      </c>
      <c r="C341" s="24">
        <f ca="1">IF(ISBLANK(A341), "", VLOOKUP(A341,'Annotated Papers'!340:1379,5,FALSE))</f>
        <v>0</v>
      </c>
      <c r="D341">
        <f ca="1">IF(ISBLANK(A341), "", IF(COUNTIF('Annotated Papers'!A:A,A341)&gt;1,1,0))</f>
        <v>1</v>
      </c>
      <c r="E341">
        <f ca="1">IF(ISBLANK(A341), "", IF(SUMIFS('Annotated Papers'!G:G, 'Annotated Papers'!A:A,A341)&gt;0,1,0))</f>
        <v>0</v>
      </c>
      <c r="F341">
        <f ca="1">IF(ISBLANK(A341), "", IF(SUMIFS('Annotated Papers'!H:H, 'Annotated Papers'!A:A,A341)&gt;0,1,0))</f>
        <v>1</v>
      </c>
      <c r="G341" t="e">
        <f ca="1">IF(ISBLANK(A341), "", IF(SUMIFS('Annotated Papers'!I:I, 'Annotated Papers'!A:A,A341)&gt;0,1,0))</f>
        <v>#NAME?</v>
      </c>
      <c r="H341">
        <f ca="1">IF(ISBLANK(A341), "", IF(SUMIFS('Annotated Papers'!L:L, 'Annotated Papers'!A:A,A341)&gt;0,1,0))</f>
        <v>0</v>
      </c>
    </row>
    <row r="342" spans="1:8" ht="14">
      <c r="A342" s="25" t="str">
        <f ca="1">IFERROR(__xludf.DUMMYFUNCTION("""COMPUTED_VALUE"""),"Training Big Random Forests with Little Resources")</f>
        <v>Training Big Random Forests with Little Resources</v>
      </c>
      <c r="B342" t="str">
        <f ca="1">IF(ISBLANK(A342), "", VLOOKUP(A342,'Annotated Papers'!341:1380,2,FALSE))</f>
        <v>General</v>
      </c>
      <c r="C342" s="24">
        <f ca="1">IF(ISBLANK(A342), "", VLOOKUP(A342,'Annotated Papers'!341:1380,5,FALSE))</f>
        <v>1</v>
      </c>
      <c r="D342">
        <f ca="1">IF(ISBLANK(A342), "", IF(COUNTIF('Annotated Papers'!A:A,A342)&gt;1,1,0))</f>
        <v>1</v>
      </c>
      <c r="E342">
        <f ca="1">IF(ISBLANK(A342), "", IF(SUMIFS('Annotated Papers'!G:G, 'Annotated Papers'!A:A,A342)&gt;0,1,0))</f>
        <v>0</v>
      </c>
      <c r="F342">
        <f ca="1">IF(ISBLANK(A342), "", IF(SUMIFS('Annotated Papers'!H:H, 'Annotated Papers'!A:A,A342)&gt;0,1,0))</f>
        <v>1</v>
      </c>
      <c r="G342" t="e">
        <f ca="1">IF(ISBLANK(A342), "", IF(SUMIFS('Annotated Papers'!I:I, 'Annotated Papers'!A:A,A342)&gt;0,1,0))</f>
        <v>#NAME?</v>
      </c>
      <c r="H342">
        <f ca="1">IF(ISBLANK(A342), "", IF(SUMIFS('Annotated Papers'!L:L, 'Annotated Papers'!A:A,A342)&gt;0,1,0))</f>
        <v>0</v>
      </c>
    </row>
    <row r="343" spans="1:8" ht="14">
      <c r="A343" s="25" t="str">
        <f ca="1">IFERROR(__xludf.DUMMYFUNCTION("""COMPUTED_VALUE"""),"Scalable Active Learning by Approximated Error Reduction")</f>
        <v>Scalable Active Learning by Approximated Error Reduction</v>
      </c>
      <c r="B343" t="str">
        <f ca="1">IF(ISBLANK(A343), "", VLOOKUP(A343,'Annotated Papers'!342:1381,2,FALSE))</f>
        <v>General</v>
      </c>
      <c r="C343" s="24">
        <f ca="1">IF(ISBLANK(A343), "", VLOOKUP(A343,'Annotated Papers'!342:1381,5,FALSE))</f>
        <v>1</v>
      </c>
      <c r="D343">
        <f ca="1">IF(ISBLANK(A343), "", IF(COUNTIF('Annotated Papers'!A:A,A343)&gt;1,1,0))</f>
        <v>1</v>
      </c>
      <c r="E343">
        <f ca="1">IF(ISBLANK(A343), "", IF(SUMIFS('Annotated Papers'!G:G, 'Annotated Papers'!A:A,A343)&gt;0,1,0))</f>
        <v>0</v>
      </c>
      <c r="F343">
        <f ca="1">IF(ISBLANK(A343), "", IF(SUMIFS('Annotated Papers'!H:H, 'Annotated Papers'!A:A,A343)&gt;0,1,0))</f>
        <v>1</v>
      </c>
      <c r="G343" t="e">
        <f ca="1">IF(ISBLANK(A343), "", IF(SUMIFS('Annotated Papers'!I:I, 'Annotated Papers'!A:A,A343)&gt;0,1,0))</f>
        <v>#NAME?</v>
      </c>
      <c r="H343">
        <f ca="1">IF(ISBLANK(A343), "", IF(SUMIFS('Annotated Papers'!L:L, 'Annotated Papers'!A:A,A343)&gt;0,1,0))</f>
        <v>0</v>
      </c>
    </row>
    <row r="344" spans="1:8" ht="14">
      <c r="A344" s="25" t="str">
        <f ca="1">IFERROR(__xludf.DUMMYFUNCTION("""COMPUTED_VALUE"""),"Easing Embedding Learning by Comprehensive Transcription of Heterogeneous Information Networks")</f>
        <v>Easing Embedding Learning by Comprehensive Transcription of Heterogeneous Information Networks</v>
      </c>
      <c r="B344" t="str">
        <f ca="1">IF(ISBLANK(A344), "", VLOOKUP(A344,'Annotated Papers'!343:1382,2,FALSE))</f>
        <v>General</v>
      </c>
      <c r="C344" s="24">
        <f ca="1">IF(ISBLANK(A344), "", VLOOKUP(A344,'Annotated Papers'!343:1382,5,FALSE))</f>
        <v>1</v>
      </c>
      <c r="D344">
        <f ca="1">IF(ISBLANK(A344), "", IF(COUNTIF('Annotated Papers'!A:A,A344)&gt;1,1,0))</f>
        <v>1</v>
      </c>
      <c r="E344">
        <f ca="1">IF(ISBLANK(A344), "", IF(SUMIFS('Annotated Papers'!G:G, 'Annotated Papers'!A:A,A344)&gt;0,1,0))</f>
        <v>0</v>
      </c>
      <c r="F344">
        <f ca="1">IF(ISBLANK(A344), "", IF(SUMIFS('Annotated Papers'!H:H, 'Annotated Papers'!A:A,A344)&gt;0,1,0))</f>
        <v>1</v>
      </c>
      <c r="G344" t="e">
        <f ca="1">IF(ISBLANK(A344), "", IF(SUMIFS('Annotated Papers'!I:I, 'Annotated Papers'!A:A,A344)&gt;0,1,0))</f>
        <v>#NAME?</v>
      </c>
      <c r="H344">
        <f ca="1">IF(ISBLANK(A344), "", IF(SUMIFS('Annotated Papers'!L:L, 'Annotated Papers'!A:A,A344)&gt;0,1,0))</f>
        <v>0</v>
      </c>
    </row>
    <row r="345" spans="1:8" ht="14">
      <c r="A345" s="25" t="str">
        <f ca="1">IFERROR(__xludf.DUMMYFUNCTION("""COMPUTED_VALUE"""),"Exploring Student Check-In Behavior for Improved Point-of-Interest Prediction")</f>
        <v>Exploring Student Check-In Behavior for Improved Point-of-Interest Prediction</v>
      </c>
      <c r="B345" t="str">
        <f ca="1">IF(ISBLANK(A345), "", VLOOKUP(A345,'Annotated Papers'!344:1383,2,FALSE))</f>
        <v>General</v>
      </c>
      <c r="C345" s="24">
        <f ca="1">IF(ISBLANK(A345), "", VLOOKUP(A345,'Annotated Papers'!344:1383,5,FALSE))</f>
        <v>0</v>
      </c>
      <c r="D345">
        <f ca="1">IF(ISBLANK(A345), "", IF(COUNTIF('Annotated Papers'!A:A,A345)&gt;1,1,0))</f>
        <v>0</v>
      </c>
      <c r="E345">
        <f ca="1">IF(ISBLANK(A345), "", IF(SUMIFS('Annotated Papers'!G:G, 'Annotated Papers'!A:A,A345)&gt;0,1,0))</f>
        <v>0</v>
      </c>
      <c r="F345">
        <f ca="1">IF(ISBLANK(A345), "", IF(SUMIFS('Annotated Papers'!H:H, 'Annotated Papers'!A:A,A345)&gt;0,1,0))</f>
        <v>0</v>
      </c>
      <c r="G345" t="e">
        <f ca="1">IF(ISBLANK(A345), "", IF(SUMIFS('Annotated Papers'!I:I, 'Annotated Papers'!A:A,A345)&gt;0,1,0))</f>
        <v>#NAME?</v>
      </c>
      <c r="H345">
        <f ca="1">IF(ISBLANK(A345), "", IF(SUMIFS('Annotated Papers'!L:L, 'Annotated Papers'!A:A,A345)&gt;0,1,0))</f>
        <v>0</v>
      </c>
    </row>
    <row r="346" spans="1:8" ht="14">
      <c r="A346" s="25" t="str">
        <f ca="1">IFERROR(__xludf.DUMMYFUNCTION("""COMPUTED_VALUE"""),"Dynamic Neural Program Embeddings for Program Repair")</f>
        <v>Dynamic Neural Program Embeddings for Program Repair</v>
      </c>
      <c r="B346" t="str">
        <f ca="1">IF(ISBLANK(A346), "", VLOOKUP(A346,'Annotated Papers'!345:1384,2,FALSE))</f>
        <v>General</v>
      </c>
      <c r="C346" s="24">
        <f ca="1">IF(ISBLANK(A346), "", VLOOKUP(A346,'Annotated Papers'!345:1384,5,FALSE))</f>
        <v>0</v>
      </c>
      <c r="D346">
        <f ca="1">IF(ISBLANK(A346), "", IF(COUNTIF('Annotated Papers'!A:A,A346)&gt;1,1,0))</f>
        <v>1</v>
      </c>
      <c r="E346">
        <f ca="1">IF(ISBLANK(A346), "", IF(SUMIFS('Annotated Papers'!G:G, 'Annotated Papers'!A:A,A346)&gt;0,1,0))</f>
        <v>0</v>
      </c>
      <c r="F346">
        <f ca="1">IF(ISBLANK(A346), "", IF(SUMIFS('Annotated Papers'!H:H, 'Annotated Papers'!A:A,A346)&gt;0,1,0))</f>
        <v>0</v>
      </c>
      <c r="G346" t="e">
        <f ca="1">IF(ISBLANK(A346), "", IF(SUMIFS('Annotated Papers'!I:I, 'Annotated Papers'!A:A,A346)&gt;0,1,0))</f>
        <v>#NAME?</v>
      </c>
      <c r="H346">
        <f ca="1">IF(ISBLANK(A346), "", IF(SUMIFS('Annotated Papers'!L:L, 'Annotated Papers'!A:A,A346)&gt;0,1,0))</f>
        <v>0</v>
      </c>
    </row>
    <row r="347" spans="1:8" ht="14">
      <c r="A347" s="25" t="str">
        <f ca="1">IFERROR(__xludf.DUMMYFUNCTION("""COMPUTED_VALUE"""),"Alternating Randomized Block Coordinate Descent")</f>
        <v>Alternating Randomized Block Coordinate Descent</v>
      </c>
      <c r="B347" t="str">
        <f ca="1">IF(ISBLANK(A347), "", VLOOKUP(A347,'Annotated Papers'!346:1385,2,FALSE))</f>
        <v>General</v>
      </c>
      <c r="C347" s="24">
        <f ca="1">IF(ISBLANK(A347), "", VLOOKUP(A347,'Annotated Papers'!346:1385,5,FALSE))</f>
        <v>0</v>
      </c>
      <c r="D347">
        <f ca="1">IF(ISBLANK(A347), "", IF(COUNTIF('Annotated Papers'!A:A,A347)&gt;1,1,0))</f>
        <v>0</v>
      </c>
      <c r="E347">
        <f ca="1">IF(ISBLANK(A347), "", IF(SUMIFS('Annotated Papers'!G:G, 'Annotated Papers'!A:A,A347)&gt;0,1,0))</f>
        <v>0</v>
      </c>
      <c r="F347">
        <f ca="1">IF(ISBLANK(A347), "", IF(SUMIFS('Annotated Papers'!H:H, 'Annotated Papers'!A:A,A347)&gt;0,1,0))</f>
        <v>1</v>
      </c>
      <c r="G347" t="e">
        <f ca="1">IF(ISBLANK(A347), "", IF(SUMIFS('Annotated Papers'!I:I, 'Annotated Papers'!A:A,A347)&gt;0,1,0))</f>
        <v>#NAME?</v>
      </c>
      <c r="H347">
        <f ca="1">IF(ISBLANK(A347), "", IF(SUMIFS('Annotated Papers'!L:L, 'Annotated Papers'!A:A,A347)&gt;0,1,0))</f>
        <v>0</v>
      </c>
    </row>
    <row r="348" spans="1:8" ht="14">
      <c r="A348" s="25" t="str">
        <f ca="1">IFERROR(__xludf.DUMMYFUNCTION("""COMPUTED_VALUE"""),"Beyond Finite Layer Neural Networks: Bridging Deep Architectures and Numerical Differential Equations")</f>
        <v>Beyond Finite Layer Neural Networks: Bridging Deep Architectures and Numerical Differential Equations</v>
      </c>
      <c r="B348" t="str">
        <f ca="1">IF(ISBLANK(A348), "", VLOOKUP(A348,'Annotated Papers'!347:1386,2,FALSE))</f>
        <v>General</v>
      </c>
      <c r="C348" s="24">
        <f ca="1">IF(ISBLANK(A348), "", VLOOKUP(A348,'Annotated Papers'!347:1386,5,FALSE))</f>
        <v>0</v>
      </c>
      <c r="D348">
        <f ca="1">IF(ISBLANK(A348), "", IF(COUNTIF('Annotated Papers'!A:A,A348)&gt;1,1,0))</f>
        <v>1</v>
      </c>
      <c r="E348">
        <f ca="1">IF(ISBLANK(A348), "", IF(SUMIFS('Annotated Papers'!G:G, 'Annotated Papers'!A:A,A348)&gt;0,1,0))</f>
        <v>0</v>
      </c>
      <c r="F348">
        <f ca="1">IF(ISBLANK(A348), "", IF(SUMIFS('Annotated Papers'!H:H, 'Annotated Papers'!A:A,A348)&gt;0,1,0))</f>
        <v>1</v>
      </c>
      <c r="G348" t="e">
        <f ca="1">IF(ISBLANK(A348), "", IF(SUMIFS('Annotated Papers'!I:I, 'Annotated Papers'!A:A,A348)&gt;0,1,0))</f>
        <v>#NAME?</v>
      </c>
      <c r="H348">
        <f ca="1">IF(ISBLANK(A348), "", IF(SUMIFS('Annotated Papers'!L:L, 'Annotated Papers'!A:A,A348)&gt;0,1,0))</f>
        <v>0</v>
      </c>
    </row>
    <row r="349" spans="1:8" ht="14">
      <c r="A349" s="26" t="str">
        <f ca="1">IFERROR(__xludf.DUMMYFUNCTION("""COMPUTED_VALUE"""),"Variable Typing: Assigning Meaning to Variables in Mathematical Text")</f>
        <v>Variable Typing: Assigning Meaning to Variables in Mathematical Text</v>
      </c>
      <c r="B349" t="str">
        <f ca="1">IF(ISBLANK(A349), "", VLOOKUP(A349,'Annotated Papers'!348:1387,2,FALSE))</f>
        <v>NLP</v>
      </c>
      <c r="C349" s="24">
        <f ca="1">IF(ISBLANK(A349), "", VLOOKUP(A349,'Annotated Papers'!348:1387,5,FALSE))</f>
        <v>0</v>
      </c>
      <c r="D349">
        <f ca="1">IF(ISBLANK(A349), "", IF(COUNTIF('Annotated Papers'!A:A,A349)&gt;1,1,0))</f>
        <v>0</v>
      </c>
      <c r="E349">
        <f ca="1">IF(ISBLANK(A349), "", IF(SUMIFS('Annotated Papers'!G:G, 'Annotated Papers'!A:A,A349)&gt;0,1,0))</f>
        <v>0</v>
      </c>
      <c r="F349">
        <f ca="1">IF(ISBLANK(A349), "", IF(SUMIFS('Annotated Papers'!H:H, 'Annotated Papers'!A:A,A349)&gt;0,1,0))</f>
        <v>1</v>
      </c>
      <c r="G349" t="e">
        <f ca="1">IF(ISBLANK(A349), "", IF(SUMIFS('Annotated Papers'!I:I, 'Annotated Papers'!A:A,A349)&gt;0,1,0))</f>
        <v>#NAME?</v>
      </c>
      <c r="H349">
        <f ca="1">IF(ISBLANK(A349), "", IF(SUMIFS('Annotated Papers'!L:L, 'Annotated Papers'!A:A,A349)&gt;0,1,0))</f>
        <v>1</v>
      </c>
    </row>
    <row r="350" spans="1:8" ht="14">
      <c r="A350" s="26" t="str">
        <f ca="1">IFERROR(__xludf.DUMMYFUNCTION("""COMPUTED_VALUE"""),"Learning beyond Datasets: Knowledge Graph Augmented Neural Networks for Natural Language Processing")</f>
        <v>Learning beyond Datasets: Knowledge Graph Augmented Neural Networks for Natural Language Processing</v>
      </c>
      <c r="B350" t="str">
        <f ca="1">IF(ISBLANK(A350), "", VLOOKUP(A350,'Annotated Papers'!349:1388,2,FALSE))</f>
        <v>NLP</v>
      </c>
      <c r="C350" s="24">
        <f ca="1">IF(ISBLANK(A350), "", VLOOKUP(A350,'Annotated Papers'!349:1388,5,FALSE))</f>
        <v>0</v>
      </c>
      <c r="D350">
        <f ca="1">IF(ISBLANK(A350), "", IF(COUNTIF('Annotated Papers'!A:A,A350)&gt;1,1,0))</f>
        <v>1</v>
      </c>
      <c r="E350">
        <f ca="1">IF(ISBLANK(A350), "", IF(SUMIFS('Annotated Papers'!G:G, 'Annotated Papers'!A:A,A350)&gt;0,1,0))</f>
        <v>0</v>
      </c>
      <c r="F350">
        <f ca="1">IF(ISBLANK(A350), "", IF(SUMIFS('Annotated Papers'!H:H, 'Annotated Papers'!A:A,A350)&gt;0,1,0))</f>
        <v>1</v>
      </c>
      <c r="G350" t="e">
        <f ca="1">IF(ISBLANK(A350), "", IF(SUMIFS('Annotated Papers'!I:I, 'Annotated Papers'!A:A,A350)&gt;0,1,0))</f>
        <v>#NAME?</v>
      </c>
      <c r="H350">
        <f ca="1">IF(ISBLANK(A350), "", IF(SUMIFS('Annotated Papers'!L:L, 'Annotated Papers'!A:A,A350)&gt;0,1,0))</f>
        <v>0</v>
      </c>
    </row>
    <row r="351" spans="1:8" ht="14">
      <c r="A351" s="26" t="str">
        <f ca="1">IFERROR(__xludf.DUMMYFUNCTION("""COMPUTED_VALUE"""),"Comparing Constraints for Taxonomic Organization")</f>
        <v>Comparing Constraints for Taxonomic Organization</v>
      </c>
      <c r="B351" t="str">
        <f ca="1">IF(ISBLANK(A351), "", VLOOKUP(A351,'Annotated Papers'!350:1389,2,FALSE))</f>
        <v>NLP</v>
      </c>
      <c r="C351" s="24">
        <f ca="1">IF(ISBLANK(A351), "", VLOOKUP(A351,'Annotated Papers'!350:1389,5,FALSE))</f>
        <v>0</v>
      </c>
      <c r="D351">
        <f ca="1">IF(ISBLANK(A351), "", IF(COUNTIF('Annotated Papers'!A:A,A351)&gt;1,1,0))</f>
        <v>1</v>
      </c>
      <c r="E351">
        <f ca="1">IF(ISBLANK(A351), "", IF(SUMIFS('Annotated Papers'!G:G, 'Annotated Papers'!A:A,A351)&gt;0,1,0))</f>
        <v>0</v>
      </c>
      <c r="F351">
        <f ca="1">IF(ISBLANK(A351), "", IF(SUMIFS('Annotated Papers'!H:H, 'Annotated Papers'!A:A,A351)&gt;0,1,0))</f>
        <v>1</v>
      </c>
      <c r="G351" t="e">
        <f ca="1">IF(ISBLANK(A351), "", IF(SUMIFS('Annotated Papers'!I:I, 'Annotated Papers'!A:A,A351)&gt;0,1,0))</f>
        <v>#NAME?</v>
      </c>
      <c r="H351">
        <f ca="1">IF(ISBLANK(A351), "", IF(SUMIFS('Annotated Papers'!L:L, 'Annotated Papers'!A:A,A351)&gt;0,1,0))</f>
        <v>0</v>
      </c>
    </row>
    <row r="352" spans="1:8" ht="14">
      <c r="A352" s="26" t="str">
        <f ca="1">IFERROR(__xludf.DUMMYFUNCTION("""COMPUTED_VALUE"""),"http://aclweb.org/anthology/D18-1019")</f>
        <v>http://aclweb.org/anthology/D18-1019</v>
      </c>
      <c r="B352" t="str">
        <f ca="1">IF(ISBLANK(A352), "", VLOOKUP(A352,'Annotated Papers'!351:1390,2,FALSE))</f>
        <v>NLP</v>
      </c>
      <c r="C352" s="24">
        <f ca="1">IF(ISBLANK(A352), "", VLOOKUP(A352,'Annotated Papers'!351:1390,5,FALSE))</f>
        <v>1</v>
      </c>
      <c r="D352">
        <f ca="1">IF(ISBLANK(A352), "", IF(COUNTIF('Annotated Papers'!A:A,A352)&gt;1,1,0))</f>
        <v>1</v>
      </c>
      <c r="E352">
        <f ca="1">IF(ISBLANK(A352), "", IF(SUMIFS('Annotated Papers'!G:G, 'Annotated Papers'!A:A,A352)&gt;0,1,0))</f>
        <v>0</v>
      </c>
      <c r="F352">
        <f ca="1">IF(ISBLANK(A352), "", IF(SUMIFS('Annotated Papers'!H:H, 'Annotated Papers'!A:A,A352)&gt;0,1,0))</f>
        <v>1</v>
      </c>
      <c r="G352" t="e">
        <f ca="1">IF(ISBLANK(A352), "", IF(SUMIFS('Annotated Papers'!I:I, 'Annotated Papers'!A:A,A352)&gt;0,1,0))</f>
        <v>#NAME?</v>
      </c>
      <c r="H352">
        <f ca="1">IF(ISBLANK(A352), "", IF(SUMIFS('Annotated Papers'!L:L, 'Annotated Papers'!A:A,A352)&gt;0,1,0))</f>
        <v>0</v>
      </c>
    </row>
    <row r="353" spans="1:8" ht="14">
      <c r="A353" s="26" t="str">
        <f ca="1">IFERROR(__xludf.DUMMYFUNCTION("""COMPUTED_VALUE"""),"Predicting News Headline Popularity with Syntactic and Semantic Knowledge Using Multi-Task Learning")</f>
        <v>Predicting News Headline Popularity with Syntactic and Semantic Knowledge Using Multi-Task Learning</v>
      </c>
      <c r="B353" t="str">
        <f ca="1">IF(ISBLANK(A353), "", VLOOKUP(A353,'Annotated Papers'!352:1391,2,FALSE))</f>
        <v>NLP</v>
      </c>
      <c r="C353" s="24">
        <f ca="1">IF(ISBLANK(A353), "", VLOOKUP(A353,'Annotated Papers'!352:1391,5,FALSE))</f>
        <v>1</v>
      </c>
      <c r="D353">
        <f ca="1">IF(ISBLANK(A353), "", IF(COUNTIF('Annotated Papers'!A:A,A353)&gt;1,1,0))</f>
        <v>0</v>
      </c>
      <c r="E353">
        <f ca="1">IF(ISBLANK(A353), "", IF(SUMIFS('Annotated Papers'!G:G, 'Annotated Papers'!A:A,A353)&gt;0,1,0))</f>
        <v>0</v>
      </c>
      <c r="F353">
        <f ca="1">IF(ISBLANK(A353), "", IF(SUMIFS('Annotated Papers'!H:H, 'Annotated Papers'!A:A,A353)&gt;0,1,0))</f>
        <v>0</v>
      </c>
      <c r="G353" t="e">
        <f ca="1">IF(ISBLANK(A353), "", IF(SUMIFS('Annotated Papers'!I:I, 'Annotated Papers'!A:A,A353)&gt;0,1,0))</f>
        <v>#NAME?</v>
      </c>
      <c r="H353">
        <f ca="1">IF(ISBLANK(A353), "", IF(SUMIFS('Annotated Papers'!L:L, 'Annotated Papers'!A:A,A353)&gt;0,1,0))</f>
        <v>0</v>
      </c>
    </row>
    <row r="354" spans="1:8" ht="14">
      <c r="A354" s="26" t="str">
        <f ca="1">IFERROR(__xludf.DUMMYFUNCTION("""COMPUTED_VALUE"""),"ExtRA: Extracting Prominent Review Aspects from Customer Feedback")</f>
        <v>ExtRA: Extracting Prominent Review Aspects from Customer Feedback</v>
      </c>
      <c r="B354" t="str">
        <f ca="1">IF(ISBLANK(A354), "", VLOOKUP(A354,'Annotated Papers'!353:1392,2,FALSE))</f>
        <v>NLP</v>
      </c>
      <c r="C354" s="24">
        <f ca="1">IF(ISBLANK(A354), "", VLOOKUP(A354,'Annotated Papers'!353:1392,5,FALSE))</f>
        <v>0</v>
      </c>
      <c r="D354">
        <f ca="1">IF(ISBLANK(A354), "", IF(COUNTIF('Annotated Papers'!A:A,A354)&gt;1,1,0))</f>
        <v>0</v>
      </c>
      <c r="E354">
        <f ca="1">IF(ISBLANK(A354), "", IF(SUMIFS('Annotated Papers'!G:G, 'Annotated Papers'!A:A,A354)&gt;0,1,0))</f>
        <v>0</v>
      </c>
      <c r="F354">
        <f ca="1">IF(ISBLANK(A354), "", IF(SUMIFS('Annotated Papers'!H:H, 'Annotated Papers'!A:A,A354)&gt;0,1,0))</f>
        <v>1</v>
      </c>
      <c r="G354" t="e">
        <f ca="1">IF(ISBLANK(A354), "", IF(SUMIFS('Annotated Papers'!I:I, 'Annotated Papers'!A:A,A354)&gt;0,1,0))</f>
        <v>#NAME?</v>
      </c>
      <c r="H354">
        <f ca="1">IF(ISBLANK(A354), "", IF(SUMIFS('Annotated Papers'!L:L, 'Annotated Papers'!A:A,A354)&gt;0,1,0))</f>
        <v>0</v>
      </c>
    </row>
    <row r="355" spans="1:8" ht="14">
      <c r="A355" s="26" t="str">
        <f ca="1">IFERROR(__xludf.DUMMYFUNCTION("""COMPUTED_VALUE"""),"Interpretable Emoji Prediction via Label-Wise Attention LSTMs")</f>
        <v>Interpretable Emoji Prediction via Label-Wise Attention LSTMs</v>
      </c>
      <c r="B355" t="str">
        <f ca="1">IF(ISBLANK(A355), "", VLOOKUP(A355,'Annotated Papers'!354:1393,2,FALSE))</f>
        <v>NLP</v>
      </c>
      <c r="C355" s="24">
        <f ca="1">IF(ISBLANK(A355), "", VLOOKUP(A355,'Annotated Papers'!354:1393,5,FALSE))</f>
        <v>1</v>
      </c>
      <c r="D355">
        <f ca="1">IF(ISBLANK(A355), "", IF(COUNTIF('Annotated Papers'!A:A,A355)&gt;1,1,0))</f>
        <v>1</v>
      </c>
      <c r="E355">
        <f ca="1">IF(ISBLANK(A355), "", IF(SUMIFS('Annotated Papers'!G:G, 'Annotated Papers'!A:A,A355)&gt;0,1,0))</f>
        <v>0</v>
      </c>
      <c r="F355">
        <f ca="1">IF(ISBLANK(A355), "", IF(SUMIFS('Annotated Papers'!H:H, 'Annotated Papers'!A:A,A355)&gt;0,1,0))</f>
        <v>1</v>
      </c>
      <c r="G355" t="e">
        <f ca="1">IF(ISBLANK(A355), "", IF(SUMIFS('Annotated Papers'!I:I, 'Annotated Papers'!A:A,A355)&gt;0,1,0))</f>
        <v>#NAME?</v>
      </c>
      <c r="H355">
        <f ca="1">IF(ISBLANK(A355), "", IF(SUMIFS('Annotated Papers'!L:L, 'Annotated Papers'!A:A,A355)&gt;0,1,0))</f>
        <v>0</v>
      </c>
    </row>
    <row r="356" spans="1:8" ht="14">
      <c r="A356" s="26" t="str">
        <f ca="1">IFERROR(__xludf.DUMMYFUNCTION("""COMPUTED_VALUE"""),"Reducing Gender Bias in Abusive Language Detection")</f>
        <v>Reducing Gender Bias in Abusive Language Detection</v>
      </c>
      <c r="B356" t="str">
        <f ca="1">IF(ISBLANK(A356), "", VLOOKUP(A356,'Annotated Papers'!355:1394,2,FALSE))</f>
        <v>NLP</v>
      </c>
      <c r="C356" s="24">
        <f ca="1">IF(ISBLANK(A356), "", VLOOKUP(A356,'Annotated Papers'!355:1394,5,FALSE))</f>
        <v>0</v>
      </c>
      <c r="D356">
        <f ca="1">IF(ISBLANK(A356), "", IF(COUNTIF('Annotated Papers'!A:A,A356)&gt;1,1,0))</f>
        <v>1</v>
      </c>
      <c r="E356">
        <f ca="1">IF(ISBLANK(A356), "", IF(SUMIFS('Annotated Papers'!G:G, 'Annotated Papers'!A:A,A356)&gt;0,1,0))</f>
        <v>0</v>
      </c>
      <c r="F356">
        <f ca="1">IF(ISBLANK(A356), "", IF(SUMIFS('Annotated Papers'!H:H, 'Annotated Papers'!A:A,A356)&gt;0,1,0))</f>
        <v>1</v>
      </c>
      <c r="G356" t="e">
        <f ca="1">IF(ISBLANK(A356), "", IF(SUMIFS('Annotated Papers'!I:I, 'Annotated Papers'!A:A,A356)&gt;0,1,0))</f>
        <v>#NAME?</v>
      </c>
      <c r="H356">
        <f ca="1">IF(ISBLANK(A356), "", IF(SUMIFS('Annotated Papers'!L:L, 'Annotated Papers'!A:A,A356)&gt;0,1,0))</f>
        <v>0</v>
      </c>
    </row>
    <row r="357" spans="1:8" ht="14">
      <c r="A357" s="26" t="str">
        <f ca="1">IFERROR(__xludf.DUMMYFUNCTION("""COMPUTED_VALUE"""),"Lexicosyntactic Inference in Neural Models")</f>
        <v>Lexicosyntactic Inference in Neural Models</v>
      </c>
      <c r="B357" t="str">
        <f ca="1">IF(ISBLANK(A357), "", VLOOKUP(A357,'Annotated Papers'!356:1395,2,FALSE))</f>
        <v>NLP</v>
      </c>
      <c r="C357" s="24">
        <f ca="1">IF(ISBLANK(A357), "", VLOOKUP(A357,'Annotated Papers'!356:1395,5,FALSE))</f>
        <v>0</v>
      </c>
      <c r="D357">
        <f ca="1">IF(ISBLANK(A357), "", IF(COUNTIF('Annotated Papers'!A:A,A357)&gt;1,1,0))</f>
        <v>1</v>
      </c>
      <c r="E357">
        <f ca="1">IF(ISBLANK(A357), "", IF(SUMIFS('Annotated Papers'!G:G, 'Annotated Papers'!A:A,A357)&gt;0,1,0))</f>
        <v>0</v>
      </c>
      <c r="F357">
        <f ca="1">IF(ISBLANK(A357), "", IF(SUMIFS('Annotated Papers'!H:H, 'Annotated Papers'!A:A,A357)&gt;0,1,0))</f>
        <v>1</v>
      </c>
      <c r="G357" t="e">
        <f ca="1">IF(ISBLANK(A357), "", IF(SUMIFS('Annotated Papers'!I:I, 'Annotated Papers'!A:A,A357)&gt;0,1,0))</f>
        <v>#NAME?</v>
      </c>
      <c r="H357">
        <f ca="1">IF(ISBLANK(A357), "", IF(SUMIFS('Annotated Papers'!L:L, 'Annotated Papers'!A:A,A357)&gt;0,1,0))</f>
        <v>1</v>
      </c>
    </row>
    <row r="358" spans="1:8" ht="14">
      <c r="A358" s="26" t="str">
        <f ca="1">IFERROR(__xludf.DUMMYFUNCTION("""COMPUTED_VALUE"""),"Syntactical Analysis of the Weaknesses of Sentiment Analyzers")</f>
        <v>Syntactical Analysis of the Weaknesses of Sentiment Analyzers</v>
      </c>
      <c r="B358" t="str">
        <f ca="1">IF(ISBLANK(A358), "", VLOOKUP(A358,'Annotated Papers'!357:1396,2,FALSE))</f>
        <v>NLP</v>
      </c>
      <c r="C358" s="24">
        <f ca="1">IF(ISBLANK(A358), "", VLOOKUP(A358,'Annotated Papers'!357:1396,5,FALSE))</f>
        <v>0</v>
      </c>
      <c r="D358">
        <f ca="1">IF(ISBLANK(A358), "", IF(COUNTIF('Annotated Papers'!A:A,A358)&gt;1,1,0))</f>
        <v>1</v>
      </c>
      <c r="E358">
        <f ca="1">IF(ISBLANK(A358), "", IF(SUMIFS('Annotated Papers'!G:G, 'Annotated Papers'!A:A,A358)&gt;0,1,0))</f>
        <v>0</v>
      </c>
      <c r="F358">
        <f ca="1">IF(ISBLANK(A358), "", IF(SUMIFS('Annotated Papers'!H:H, 'Annotated Papers'!A:A,A358)&gt;0,1,0))</f>
        <v>1</v>
      </c>
      <c r="G358" t="e">
        <f ca="1">IF(ISBLANK(A358), "", IF(SUMIFS('Annotated Papers'!I:I, 'Annotated Papers'!A:A,A358)&gt;0,1,0))</f>
        <v>#NAME?</v>
      </c>
      <c r="H358">
        <f ca="1">IF(ISBLANK(A358), "", IF(SUMIFS('Annotated Papers'!L:L, 'Annotated Papers'!A:A,A358)&gt;0,1,0))</f>
        <v>0</v>
      </c>
    </row>
    <row r="359" spans="1:8" ht="14">
      <c r="A359" s="26" t="str">
        <f ca="1">IFERROR(__xludf.DUMMYFUNCTION("""COMPUTED_VALUE"""),"Learning Unsupervised Word Translations Without Adversaries")</f>
        <v>Learning Unsupervised Word Translations Without Adversaries</v>
      </c>
      <c r="B359" t="str">
        <f ca="1">IF(ISBLANK(A359), "", VLOOKUP(A359,'Annotated Papers'!358:1397,2,FALSE))</f>
        <v>NLP</v>
      </c>
      <c r="C359" s="24">
        <f ca="1">IF(ISBLANK(A359), "", VLOOKUP(A359,'Annotated Papers'!358:1397,5,FALSE))</f>
        <v>0</v>
      </c>
      <c r="D359">
        <f ca="1">IF(ISBLANK(A359), "", IF(COUNTIF('Annotated Papers'!A:A,A359)&gt;1,1,0))</f>
        <v>1</v>
      </c>
      <c r="E359">
        <f ca="1">IF(ISBLANK(A359), "", IF(SUMIFS('Annotated Papers'!G:G, 'Annotated Papers'!A:A,A359)&gt;0,1,0))</f>
        <v>0</v>
      </c>
      <c r="F359">
        <f ca="1">IF(ISBLANK(A359), "", IF(SUMIFS('Annotated Papers'!H:H, 'Annotated Papers'!A:A,A359)&gt;0,1,0))</f>
        <v>1</v>
      </c>
      <c r="G359" t="e">
        <f ca="1">IF(ISBLANK(A359), "", IF(SUMIFS('Annotated Papers'!I:I, 'Annotated Papers'!A:A,A359)&gt;0,1,0))</f>
        <v>#NAME?</v>
      </c>
      <c r="H359">
        <f ca="1">IF(ISBLANK(A359), "", IF(SUMIFS('Annotated Papers'!L:L, 'Annotated Papers'!A:A,A359)&gt;0,1,0))</f>
        <v>0</v>
      </c>
    </row>
    <row r="360" spans="1:8" ht="14">
      <c r="A360" s="25" t="str">
        <f ca="1">IFERROR(__xludf.DUMMYFUNCTION("""COMPUTED_VALUE"""),"")</f>
        <v/>
      </c>
      <c r="B360" t="e">
        <f ca="1">IF(ISBLANK(A360), "", VLOOKUP(A360,'Annotated Papers'!359:1398,2,FALSE))</f>
        <v>#N/A</v>
      </c>
      <c r="C360" s="24" t="e">
        <f ca="1">IF(ISBLANK(A360), "", VLOOKUP(A360,'Annotated Papers'!359:1398,5,FALSE))</f>
        <v>#N/A</v>
      </c>
      <c r="D360">
        <f ca="1">IF(ISBLANK(A360), "", IF(COUNTIF('Annotated Papers'!A:A,A360)&gt;1,1,0))</f>
        <v>1</v>
      </c>
      <c r="E360">
        <f ca="1">IF(ISBLANK(A360), "", IF(SUMIFS('Annotated Papers'!G:G, 'Annotated Papers'!A:A,A360)&gt;0,1,0))</f>
        <v>0</v>
      </c>
      <c r="F360">
        <f ca="1">IF(ISBLANK(A360), "", IF(SUMIFS('Annotated Papers'!H:H, 'Annotated Papers'!A:A,A360)&gt;0,1,0))</f>
        <v>0</v>
      </c>
      <c r="G360">
        <f ca="1">IF(ISBLANK(A360), "", IF(SUMIFS('Annotated Papers'!I:I, 'Annotated Papers'!A:A,A360)&gt;0,1,0))</f>
        <v>0</v>
      </c>
      <c r="H360">
        <f ca="1">IF(ISBLANK(A360), "", IF(SUMIFS('Annotated Papers'!L:L, 'Annotated Papers'!A:A,A360)&gt;0,1,0))</f>
        <v>0</v>
      </c>
    </row>
    <row r="361" spans="1:8" ht="14">
      <c r="A361" s="25"/>
      <c r="B361" t="str">
        <f>IF(ISBLANK(A361), "", VLOOKUP(A361,'Annotated Papers'!360:1399,2,FALSE))</f>
        <v/>
      </c>
      <c r="C361" s="24" t="str">
        <f>IF(ISBLANK(A361), "", VLOOKUP(A361,'Annotated Papers'!360:1399,5,FALSE))</f>
        <v/>
      </c>
      <c r="D361" t="str">
        <f>IF(ISBLANK(A361), "", IF(COUNTIF('Annotated Papers'!A:A,A361)&gt;1,1,0))</f>
        <v/>
      </c>
      <c r="E361" t="str">
        <f>IF(ISBLANK(A361), "", IF(SUMIFS('Annotated Papers'!G:G, 'Annotated Papers'!A:A,A361)&gt;0,1,0))</f>
        <v/>
      </c>
      <c r="F361" t="str">
        <f>IF(ISBLANK(A361), "", IF(SUMIFS('Annotated Papers'!H:H, 'Annotated Papers'!A:A,A361)&gt;0,1,0))</f>
        <v/>
      </c>
      <c r="G361" t="str">
        <f>IF(ISBLANK(A361), "", IF(SUMIFS('Annotated Papers'!I:I, 'Annotated Papers'!A:A,A361)&gt;0,1,0))</f>
        <v/>
      </c>
      <c r="H361" t="str">
        <f>IF(ISBLANK(A361), "", IF(SUMIFS('Annotated Papers'!L:L, 'Annotated Papers'!A:A,A361)&gt;0,1,0))</f>
        <v/>
      </c>
    </row>
    <row r="362" spans="1:8" ht="14">
      <c r="A362" s="25"/>
      <c r="B362" t="str">
        <f>IF(ISBLANK(A362), "", VLOOKUP(A362,'Annotated Papers'!361:1400,2,FALSE))</f>
        <v/>
      </c>
      <c r="C362" s="24" t="str">
        <f>IF(ISBLANK(A362), "", VLOOKUP(A362,'Annotated Papers'!361:1400,5,FALSE))</f>
        <v/>
      </c>
      <c r="D362" t="str">
        <f>IF(ISBLANK(A362), "", IF(COUNTIF('Annotated Papers'!A:A,A362)&gt;1,1,0))</f>
        <v/>
      </c>
      <c r="E362" t="str">
        <f>IF(ISBLANK(A362), "", IF(SUMIFS('Annotated Papers'!G:G, 'Annotated Papers'!A:A,A362)&gt;0,1,0))</f>
        <v/>
      </c>
      <c r="F362" t="str">
        <f>IF(ISBLANK(A362), "", IF(SUMIFS('Annotated Papers'!H:H, 'Annotated Papers'!A:A,A362)&gt;0,1,0))</f>
        <v/>
      </c>
      <c r="G362" t="str">
        <f>IF(ISBLANK(A362), "", IF(SUMIFS('Annotated Papers'!I:I, 'Annotated Papers'!A:A,A362)&gt;0,1,0))</f>
        <v/>
      </c>
      <c r="H362" t="str">
        <f>IF(ISBLANK(A362), "", IF(SUMIFS('Annotated Papers'!L:L, 'Annotated Papers'!A:A,A362)&gt;0,1,0))</f>
        <v/>
      </c>
    </row>
    <row r="363" spans="1:8" ht="14">
      <c r="A363" s="25"/>
      <c r="B363" t="str">
        <f>IF(ISBLANK(A363), "", VLOOKUP(A363,'Annotated Papers'!362:1401,2,FALSE))</f>
        <v/>
      </c>
      <c r="C363" s="24" t="str">
        <f>IF(ISBLANK(A363), "", VLOOKUP(A363,'Annotated Papers'!362:1401,5,FALSE))</f>
        <v/>
      </c>
      <c r="D363" t="str">
        <f>IF(ISBLANK(A363), "", IF(COUNTIF('Annotated Papers'!A:A,A363)&gt;1,1,0))</f>
        <v/>
      </c>
      <c r="E363" t="str">
        <f>IF(ISBLANK(A363), "", IF(SUMIFS('Annotated Papers'!G:G, 'Annotated Papers'!A:A,A363)&gt;0,1,0))</f>
        <v/>
      </c>
      <c r="F363" t="str">
        <f>IF(ISBLANK(A363), "", IF(SUMIFS('Annotated Papers'!H:H, 'Annotated Papers'!A:A,A363)&gt;0,1,0))</f>
        <v/>
      </c>
      <c r="G363" t="str">
        <f>IF(ISBLANK(A363), "", IF(SUMIFS('Annotated Papers'!I:I, 'Annotated Papers'!A:A,A363)&gt;0,1,0))</f>
        <v/>
      </c>
      <c r="H363" t="str">
        <f>IF(ISBLANK(A363), "", IF(SUMIFS('Annotated Papers'!L:L, 'Annotated Papers'!A:A,A363)&gt;0,1,0))</f>
        <v/>
      </c>
    </row>
    <row r="364" spans="1:8" ht="14">
      <c r="A364" s="25"/>
      <c r="B364" t="str">
        <f>IF(ISBLANK(A364), "", VLOOKUP(A364,'Annotated Papers'!363:1402,2,FALSE))</f>
        <v/>
      </c>
      <c r="C364" s="24" t="str">
        <f>IF(ISBLANK(A364), "", VLOOKUP(A364,'Annotated Papers'!363:1402,5,FALSE))</f>
        <v/>
      </c>
      <c r="D364" t="str">
        <f>IF(ISBLANK(A364), "", IF(COUNTIF('Annotated Papers'!A:A,A364)&gt;1,1,0))</f>
        <v/>
      </c>
      <c r="E364" t="str">
        <f>IF(ISBLANK(A364), "", IF(SUMIFS('Annotated Papers'!G:G, 'Annotated Papers'!A:A,A364)&gt;0,1,0))</f>
        <v/>
      </c>
      <c r="F364" t="str">
        <f>IF(ISBLANK(A364), "", IF(SUMIFS('Annotated Papers'!H:H, 'Annotated Papers'!A:A,A364)&gt;0,1,0))</f>
        <v/>
      </c>
      <c r="G364" t="str">
        <f>IF(ISBLANK(A364), "", IF(SUMIFS('Annotated Papers'!I:I, 'Annotated Papers'!A:A,A364)&gt;0,1,0))</f>
        <v/>
      </c>
      <c r="H364" t="str">
        <f>IF(ISBLANK(A364), "", IF(SUMIFS('Annotated Papers'!L:L, 'Annotated Papers'!A:A,A364)&gt;0,1,0))</f>
        <v/>
      </c>
    </row>
    <row r="365" spans="1:8" ht="14">
      <c r="A365" s="25"/>
      <c r="B365" t="str">
        <f>IF(ISBLANK(A365), "", VLOOKUP(A365,'Annotated Papers'!364:1403,2,FALSE))</f>
        <v/>
      </c>
      <c r="C365" s="24" t="str">
        <f>IF(ISBLANK(A365), "", VLOOKUP(A365,'Annotated Papers'!364:1403,5,FALSE))</f>
        <v/>
      </c>
      <c r="D365" t="str">
        <f>IF(ISBLANK(A365), "", IF(COUNTIF('Annotated Papers'!A:A,A365)&gt;1,1,0))</f>
        <v/>
      </c>
      <c r="E365" t="str">
        <f>IF(ISBLANK(A365), "", IF(SUMIFS('Annotated Papers'!G:G, 'Annotated Papers'!A:A,A365)&gt;0,1,0))</f>
        <v/>
      </c>
      <c r="F365" t="str">
        <f>IF(ISBLANK(A365), "", IF(SUMIFS('Annotated Papers'!H:H, 'Annotated Papers'!A:A,A365)&gt;0,1,0))</f>
        <v/>
      </c>
      <c r="G365" t="str">
        <f>IF(ISBLANK(A365), "", IF(SUMIFS('Annotated Papers'!I:I, 'Annotated Papers'!A:A,A365)&gt;0,1,0))</f>
        <v/>
      </c>
      <c r="H365" t="str">
        <f>IF(ISBLANK(A365), "", IF(SUMIFS('Annotated Papers'!L:L, 'Annotated Papers'!A:A,A365)&gt;0,1,0))</f>
        <v/>
      </c>
    </row>
    <row r="366" spans="1:8" ht="14">
      <c r="A366" s="25"/>
      <c r="B366" t="str">
        <f>IF(ISBLANK(A366), "", VLOOKUP(A366,'Annotated Papers'!365:1404,2,FALSE))</f>
        <v/>
      </c>
      <c r="C366" s="24" t="str">
        <f>IF(ISBLANK(A366), "", VLOOKUP(A366,'Annotated Papers'!365:1404,5,FALSE))</f>
        <v/>
      </c>
      <c r="D366" t="str">
        <f>IF(ISBLANK(A366), "", IF(COUNTIF('Annotated Papers'!A:A,A366)&gt;1,1,0))</f>
        <v/>
      </c>
      <c r="E366" t="str">
        <f>IF(ISBLANK(A366), "", IF(SUMIFS('Annotated Papers'!G:G, 'Annotated Papers'!A:A,A366)&gt;0,1,0))</f>
        <v/>
      </c>
      <c r="F366" t="str">
        <f>IF(ISBLANK(A366), "", IF(SUMIFS('Annotated Papers'!H:H, 'Annotated Papers'!A:A,A366)&gt;0,1,0))</f>
        <v/>
      </c>
      <c r="G366" t="str">
        <f>IF(ISBLANK(A366), "", IF(SUMIFS('Annotated Papers'!I:I, 'Annotated Papers'!A:A,A366)&gt;0,1,0))</f>
        <v/>
      </c>
      <c r="H366" t="str">
        <f>IF(ISBLANK(A366), "", IF(SUMIFS('Annotated Papers'!L:L, 'Annotated Papers'!A:A,A366)&gt;0,1,0))</f>
        <v/>
      </c>
    </row>
    <row r="367" spans="1:8" ht="14">
      <c r="A367" s="25"/>
      <c r="B367" t="str">
        <f>IF(ISBLANK(A367), "", VLOOKUP(A367,'Annotated Papers'!366:1405,2,FALSE))</f>
        <v/>
      </c>
      <c r="C367" s="24" t="str">
        <f>IF(ISBLANK(A367), "", VLOOKUP(A367,'Annotated Papers'!366:1405,5,FALSE))</f>
        <v/>
      </c>
      <c r="D367" t="str">
        <f>IF(ISBLANK(A367), "", IF(COUNTIF('Annotated Papers'!A:A,A367)&gt;1,1,0))</f>
        <v/>
      </c>
      <c r="E367" t="str">
        <f>IF(ISBLANK(A367), "", IF(SUMIFS('Annotated Papers'!G:G, 'Annotated Papers'!A:A,A367)&gt;0,1,0))</f>
        <v/>
      </c>
      <c r="F367" t="str">
        <f>IF(ISBLANK(A367), "", IF(SUMIFS('Annotated Papers'!H:H, 'Annotated Papers'!A:A,A367)&gt;0,1,0))</f>
        <v/>
      </c>
      <c r="G367" t="str">
        <f>IF(ISBLANK(A367), "", IF(SUMIFS('Annotated Papers'!I:I, 'Annotated Papers'!A:A,A367)&gt;0,1,0))</f>
        <v/>
      </c>
      <c r="H367" t="str">
        <f>IF(ISBLANK(A367), "", IF(SUMIFS('Annotated Papers'!L:L, 'Annotated Papers'!A:A,A367)&gt;0,1,0))</f>
        <v/>
      </c>
    </row>
    <row r="368" spans="1:8" ht="14">
      <c r="A368" s="25"/>
      <c r="B368" t="str">
        <f>IF(ISBLANK(A368), "", VLOOKUP(A368,'Annotated Papers'!367:1406,2,FALSE))</f>
        <v/>
      </c>
      <c r="C368" s="24" t="str">
        <f>IF(ISBLANK(A368), "", VLOOKUP(A368,'Annotated Papers'!367:1406,5,FALSE))</f>
        <v/>
      </c>
      <c r="D368" t="str">
        <f>IF(ISBLANK(A368), "", IF(COUNTIF('Annotated Papers'!A:A,A368)&gt;1,1,0))</f>
        <v/>
      </c>
      <c r="E368" t="str">
        <f>IF(ISBLANK(A368), "", IF(SUMIFS('Annotated Papers'!G:G, 'Annotated Papers'!A:A,A368)&gt;0,1,0))</f>
        <v/>
      </c>
      <c r="F368" t="str">
        <f>IF(ISBLANK(A368), "", IF(SUMIFS('Annotated Papers'!H:H, 'Annotated Papers'!A:A,A368)&gt;0,1,0))</f>
        <v/>
      </c>
      <c r="G368" t="str">
        <f>IF(ISBLANK(A368), "", IF(SUMIFS('Annotated Papers'!I:I, 'Annotated Papers'!A:A,A368)&gt;0,1,0))</f>
        <v/>
      </c>
      <c r="H368" t="str">
        <f>IF(ISBLANK(A368), "", IF(SUMIFS('Annotated Papers'!L:L, 'Annotated Papers'!A:A,A368)&gt;0,1,0))</f>
        <v/>
      </c>
    </row>
    <row r="369" spans="1:8" ht="14">
      <c r="A369" s="25"/>
      <c r="B369" t="str">
        <f>IF(ISBLANK(A369), "", VLOOKUP(A369,'Annotated Papers'!368:1407,2,FALSE))</f>
        <v/>
      </c>
      <c r="C369" s="24" t="str">
        <f>IF(ISBLANK(A369), "", VLOOKUP(A369,'Annotated Papers'!368:1407,5,FALSE))</f>
        <v/>
      </c>
      <c r="D369" t="str">
        <f>IF(ISBLANK(A369), "", IF(COUNTIF('Annotated Papers'!A:A,A369)&gt;1,1,0))</f>
        <v/>
      </c>
      <c r="E369" t="str">
        <f>IF(ISBLANK(A369), "", IF(SUMIFS('Annotated Papers'!G:G, 'Annotated Papers'!A:A,A369)&gt;0,1,0))</f>
        <v/>
      </c>
      <c r="F369" t="str">
        <f>IF(ISBLANK(A369), "", IF(SUMIFS('Annotated Papers'!H:H, 'Annotated Papers'!A:A,A369)&gt;0,1,0))</f>
        <v/>
      </c>
      <c r="G369" t="str">
        <f>IF(ISBLANK(A369), "", IF(SUMIFS('Annotated Papers'!I:I, 'Annotated Papers'!A:A,A369)&gt;0,1,0))</f>
        <v/>
      </c>
      <c r="H369" t="str">
        <f>IF(ISBLANK(A369), "", IF(SUMIFS('Annotated Papers'!L:L, 'Annotated Papers'!A:A,A369)&gt;0,1,0))</f>
        <v/>
      </c>
    </row>
    <row r="370" spans="1:8" ht="14">
      <c r="A370" s="25"/>
      <c r="B370" t="str">
        <f>IF(ISBLANK(A370), "", VLOOKUP(A370,'Annotated Papers'!369:1408,2,FALSE))</f>
        <v/>
      </c>
      <c r="C370" s="24" t="str">
        <f>IF(ISBLANK(A370), "", VLOOKUP(A370,'Annotated Papers'!369:1408,5,FALSE))</f>
        <v/>
      </c>
      <c r="D370" t="str">
        <f>IF(ISBLANK(A370), "", IF(COUNTIF('Annotated Papers'!A:A,A370)&gt;1,1,0))</f>
        <v/>
      </c>
      <c r="E370" t="str">
        <f>IF(ISBLANK(A370), "", IF(SUMIFS('Annotated Papers'!G:G, 'Annotated Papers'!A:A,A370)&gt;0,1,0))</f>
        <v/>
      </c>
      <c r="F370" t="str">
        <f>IF(ISBLANK(A370), "", IF(SUMIFS('Annotated Papers'!H:H, 'Annotated Papers'!A:A,A370)&gt;0,1,0))</f>
        <v/>
      </c>
      <c r="G370" t="str">
        <f>IF(ISBLANK(A370), "", IF(SUMIFS('Annotated Papers'!I:I, 'Annotated Papers'!A:A,A370)&gt;0,1,0))</f>
        <v/>
      </c>
      <c r="H370" t="str">
        <f>IF(ISBLANK(A370), "", IF(SUMIFS('Annotated Papers'!L:L, 'Annotated Papers'!A:A,A370)&gt;0,1,0))</f>
        <v/>
      </c>
    </row>
    <row r="371" spans="1:8" ht="14">
      <c r="A371" s="25"/>
      <c r="B371" t="str">
        <f>IF(ISBLANK(A371), "", VLOOKUP(A371,'Annotated Papers'!370:1409,2,FALSE))</f>
        <v/>
      </c>
      <c r="C371" s="24" t="str">
        <f>IF(ISBLANK(A371), "", VLOOKUP(A371,'Annotated Papers'!370:1409,5,FALSE))</f>
        <v/>
      </c>
      <c r="D371" t="str">
        <f>IF(ISBLANK(A371), "", IF(COUNTIF('Annotated Papers'!A:A,A371)&gt;1,1,0))</f>
        <v/>
      </c>
      <c r="E371" t="str">
        <f>IF(ISBLANK(A371), "", IF(SUMIFS('Annotated Papers'!G:G, 'Annotated Papers'!A:A,A371)&gt;0,1,0))</f>
        <v/>
      </c>
      <c r="F371" t="str">
        <f>IF(ISBLANK(A371), "", IF(SUMIFS('Annotated Papers'!H:H, 'Annotated Papers'!A:A,A371)&gt;0,1,0))</f>
        <v/>
      </c>
      <c r="G371" t="str">
        <f>IF(ISBLANK(A371), "", IF(SUMIFS('Annotated Papers'!I:I, 'Annotated Papers'!A:A,A371)&gt;0,1,0))</f>
        <v/>
      </c>
      <c r="H371" t="str">
        <f>IF(ISBLANK(A371), "", IF(SUMIFS('Annotated Papers'!L:L, 'Annotated Papers'!A:A,A371)&gt;0,1,0))</f>
        <v/>
      </c>
    </row>
    <row r="372" spans="1:8" ht="14">
      <c r="A372" s="25"/>
      <c r="B372" t="str">
        <f>IF(ISBLANK(A372), "", VLOOKUP(A372,'Annotated Papers'!371:1410,2,FALSE))</f>
        <v/>
      </c>
      <c r="C372" s="24" t="str">
        <f>IF(ISBLANK(A372), "", VLOOKUP(A372,'Annotated Papers'!371:1410,5,FALSE))</f>
        <v/>
      </c>
      <c r="D372" t="str">
        <f>IF(ISBLANK(A372), "", IF(COUNTIF('Annotated Papers'!A:A,A372)&gt;1,1,0))</f>
        <v/>
      </c>
      <c r="E372" t="str">
        <f>IF(ISBLANK(A372), "", IF(SUMIFS('Annotated Papers'!G:G, 'Annotated Papers'!A:A,A372)&gt;0,1,0))</f>
        <v/>
      </c>
      <c r="F372" t="str">
        <f>IF(ISBLANK(A372), "", IF(SUMIFS('Annotated Papers'!H:H, 'Annotated Papers'!A:A,A372)&gt;0,1,0))</f>
        <v/>
      </c>
      <c r="G372" t="str">
        <f>IF(ISBLANK(A372), "", IF(SUMIFS('Annotated Papers'!I:I, 'Annotated Papers'!A:A,A372)&gt;0,1,0))</f>
        <v/>
      </c>
      <c r="H372" t="str">
        <f>IF(ISBLANK(A372), "", IF(SUMIFS('Annotated Papers'!L:L, 'Annotated Papers'!A:A,A372)&gt;0,1,0))</f>
        <v/>
      </c>
    </row>
    <row r="373" spans="1:8" ht="14">
      <c r="A373" s="25"/>
      <c r="B373" t="str">
        <f>IF(ISBLANK(A373), "", VLOOKUP(A373,'Annotated Papers'!372:1411,2,FALSE))</f>
        <v/>
      </c>
      <c r="C373" s="24" t="str">
        <f>IF(ISBLANK(A373), "", VLOOKUP(A373,'Annotated Papers'!372:1411,5,FALSE))</f>
        <v/>
      </c>
      <c r="D373" t="str">
        <f>IF(ISBLANK(A373), "", IF(COUNTIF('Annotated Papers'!A:A,A373)&gt;1,1,0))</f>
        <v/>
      </c>
      <c r="E373" t="str">
        <f>IF(ISBLANK(A373), "", IF(SUMIFS('Annotated Papers'!G:G, 'Annotated Papers'!A:A,A373)&gt;0,1,0))</f>
        <v/>
      </c>
      <c r="F373" t="str">
        <f>IF(ISBLANK(A373), "", IF(SUMIFS('Annotated Papers'!H:H, 'Annotated Papers'!A:A,A373)&gt;0,1,0))</f>
        <v/>
      </c>
      <c r="G373" t="str">
        <f>IF(ISBLANK(A373), "", IF(SUMIFS('Annotated Papers'!I:I, 'Annotated Papers'!A:A,A373)&gt;0,1,0))</f>
        <v/>
      </c>
      <c r="H373" t="str">
        <f>IF(ISBLANK(A373), "", IF(SUMIFS('Annotated Papers'!L:L, 'Annotated Papers'!A:A,A373)&gt;0,1,0))</f>
        <v/>
      </c>
    </row>
    <row r="374" spans="1:8" ht="14">
      <c r="A374" s="25"/>
      <c r="B374" t="str">
        <f>IF(ISBLANK(A374), "", VLOOKUP(A374,'Annotated Papers'!373:1412,2,FALSE))</f>
        <v/>
      </c>
      <c r="C374" s="24" t="str">
        <f>IF(ISBLANK(A374), "", VLOOKUP(A374,'Annotated Papers'!373:1412,5,FALSE))</f>
        <v/>
      </c>
      <c r="D374" t="str">
        <f>IF(ISBLANK(A374), "", IF(COUNTIF('Annotated Papers'!A:A,A374)&gt;1,1,0))</f>
        <v/>
      </c>
      <c r="E374" t="str">
        <f>IF(ISBLANK(A374), "", IF(SUMIFS('Annotated Papers'!G:G, 'Annotated Papers'!A:A,A374)&gt;0,1,0))</f>
        <v/>
      </c>
      <c r="F374" t="str">
        <f>IF(ISBLANK(A374), "", IF(SUMIFS('Annotated Papers'!H:H, 'Annotated Papers'!A:A,A374)&gt;0,1,0))</f>
        <v/>
      </c>
      <c r="G374" t="str">
        <f>IF(ISBLANK(A374), "", IF(SUMIFS('Annotated Papers'!I:I, 'Annotated Papers'!A:A,A374)&gt;0,1,0))</f>
        <v/>
      </c>
      <c r="H374" t="str">
        <f>IF(ISBLANK(A374), "", IF(SUMIFS('Annotated Papers'!L:L, 'Annotated Papers'!A:A,A374)&gt;0,1,0))</f>
        <v/>
      </c>
    </row>
    <row r="375" spans="1:8" ht="14">
      <c r="A375" s="25"/>
      <c r="B375" t="str">
        <f>IF(ISBLANK(A375), "", VLOOKUP(A375,'Annotated Papers'!374:1413,2,FALSE))</f>
        <v/>
      </c>
      <c r="C375" s="24" t="str">
        <f>IF(ISBLANK(A375), "", VLOOKUP(A375,'Annotated Papers'!374:1413,5,FALSE))</f>
        <v/>
      </c>
      <c r="D375" t="str">
        <f>IF(ISBLANK(A375), "", IF(COUNTIF('Annotated Papers'!A:A,A375)&gt;1,1,0))</f>
        <v/>
      </c>
      <c r="E375" t="str">
        <f>IF(ISBLANK(A375), "", IF(SUMIFS('Annotated Papers'!G:G, 'Annotated Papers'!A:A,A375)&gt;0,1,0))</f>
        <v/>
      </c>
      <c r="F375" t="str">
        <f>IF(ISBLANK(A375), "", IF(SUMIFS('Annotated Papers'!H:H, 'Annotated Papers'!A:A,A375)&gt;0,1,0))</f>
        <v/>
      </c>
      <c r="G375" t="str">
        <f>IF(ISBLANK(A375), "", IF(SUMIFS('Annotated Papers'!I:I, 'Annotated Papers'!A:A,A375)&gt;0,1,0))</f>
        <v/>
      </c>
      <c r="H375" t="str">
        <f>IF(ISBLANK(A375), "", IF(SUMIFS('Annotated Papers'!L:L, 'Annotated Papers'!A:A,A375)&gt;0,1,0))</f>
        <v/>
      </c>
    </row>
    <row r="376" spans="1:8" ht="14">
      <c r="A376" s="25"/>
      <c r="B376" t="str">
        <f>IF(ISBLANK(A376), "", VLOOKUP(A376,'Annotated Papers'!375:1414,2,FALSE))</f>
        <v/>
      </c>
      <c r="C376" s="24" t="str">
        <f>IF(ISBLANK(A376), "", VLOOKUP(A376,'Annotated Papers'!375:1414,5,FALSE))</f>
        <v/>
      </c>
      <c r="D376" t="str">
        <f>IF(ISBLANK(A376), "", IF(COUNTIF('Annotated Papers'!A:A,A376)&gt;1,1,0))</f>
        <v/>
      </c>
      <c r="E376" t="str">
        <f>IF(ISBLANK(A376), "", IF(SUMIFS('Annotated Papers'!G:G, 'Annotated Papers'!A:A,A376)&gt;0,1,0))</f>
        <v/>
      </c>
      <c r="F376" t="str">
        <f>IF(ISBLANK(A376), "", IF(SUMIFS('Annotated Papers'!H:H, 'Annotated Papers'!A:A,A376)&gt;0,1,0))</f>
        <v/>
      </c>
      <c r="G376" t="str">
        <f>IF(ISBLANK(A376), "", IF(SUMIFS('Annotated Papers'!I:I, 'Annotated Papers'!A:A,A376)&gt;0,1,0))</f>
        <v/>
      </c>
      <c r="H376" t="str">
        <f>IF(ISBLANK(A376), "", IF(SUMIFS('Annotated Papers'!L:L, 'Annotated Papers'!A:A,A376)&gt;0,1,0))</f>
        <v/>
      </c>
    </row>
    <row r="377" spans="1:8" ht="14">
      <c r="A377" s="25"/>
      <c r="B377" t="str">
        <f>IF(ISBLANK(A377), "", VLOOKUP(A377,'Annotated Papers'!376:1415,2,FALSE))</f>
        <v/>
      </c>
      <c r="C377" s="24" t="str">
        <f>IF(ISBLANK(A377), "", VLOOKUP(A377,'Annotated Papers'!376:1415,5,FALSE))</f>
        <v/>
      </c>
      <c r="D377" t="str">
        <f>IF(ISBLANK(A377), "", IF(COUNTIF('Annotated Papers'!A:A,A377)&gt;1,1,0))</f>
        <v/>
      </c>
      <c r="E377" t="str">
        <f>IF(ISBLANK(A377), "", IF(SUMIFS('Annotated Papers'!G:G, 'Annotated Papers'!A:A,A377)&gt;0,1,0))</f>
        <v/>
      </c>
      <c r="F377" t="str">
        <f>IF(ISBLANK(A377), "", IF(SUMIFS('Annotated Papers'!H:H, 'Annotated Papers'!A:A,A377)&gt;0,1,0))</f>
        <v/>
      </c>
      <c r="G377" t="str">
        <f>IF(ISBLANK(A377), "", IF(SUMIFS('Annotated Papers'!I:I, 'Annotated Papers'!A:A,A377)&gt;0,1,0))</f>
        <v/>
      </c>
      <c r="H377" t="str">
        <f>IF(ISBLANK(A377), "", IF(SUMIFS('Annotated Papers'!L:L, 'Annotated Papers'!A:A,A377)&gt;0,1,0))</f>
        <v/>
      </c>
    </row>
    <row r="378" spans="1:8" ht="14">
      <c r="A378" s="25"/>
      <c r="B378" t="str">
        <f>IF(ISBLANK(A378), "", VLOOKUP(A378,'Annotated Papers'!377:1416,2,FALSE))</f>
        <v/>
      </c>
      <c r="C378" s="24" t="str">
        <f>IF(ISBLANK(A378), "", VLOOKUP(A378,'Annotated Papers'!377:1416,5,FALSE))</f>
        <v/>
      </c>
      <c r="D378" t="str">
        <f>IF(ISBLANK(A378), "", IF(COUNTIF('Annotated Papers'!A:A,A378)&gt;1,1,0))</f>
        <v/>
      </c>
      <c r="E378" t="str">
        <f>IF(ISBLANK(A378), "", IF(SUMIFS('Annotated Papers'!G:G, 'Annotated Papers'!A:A,A378)&gt;0,1,0))</f>
        <v/>
      </c>
      <c r="F378" t="str">
        <f>IF(ISBLANK(A378), "", IF(SUMIFS('Annotated Papers'!H:H, 'Annotated Papers'!A:A,A378)&gt;0,1,0))</f>
        <v/>
      </c>
      <c r="G378" t="str">
        <f>IF(ISBLANK(A378), "", IF(SUMIFS('Annotated Papers'!I:I, 'Annotated Papers'!A:A,A378)&gt;0,1,0))</f>
        <v/>
      </c>
      <c r="H378" t="str">
        <f>IF(ISBLANK(A378), "", IF(SUMIFS('Annotated Papers'!L:L, 'Annotated Papers'!A:A,A378)&gt;0,1,0))</f>
        <v/>
      </c>
    </row>
    <row r="379" spans="1:8" ht="14">
      <c r="A379" s="25"/>
      <c r="B379" t="str">
        <f>IF(ISBLANK(A379), "", VLOOKUP(A379,'Annotated Papers'!378:1417,2,FALSE))</f>
        <v/>
      </c>
      <c r="C379" s="24" t="str">
        <f>IF(ISBLANK(A379), "", VLOOKUP(A379,'Annotated Papers'!378:1417,5,FALSE))</f>
        <v/>
      </c>
      <c r="D379" t="str">
        <f>IF(ISBLANK(A379), "", IF(COUNTIF('Annotated Papers'!A:A,A379)&gt;1,1,0))</f>
        <v/>
      </c>
      <c r="E379" t="str">
        <f>IF(ISBLANK(A379), "", IF(SUMIFS('Annotated Papers'!G:G, 'Annotated Papers'!A:A,A379)&gt;0,1,0))</f>
        <v/>
      </c>
      <c r="F379" t="str">
        <f>IF(ISBLANK(A379), "", IF(SUMIFS('Annotated Papers'!H:H, 'Annotated Papers'!A:A,A379)&gt;0,1,0))</f>
        <v/>
      </c>
      <c r="G379" t="str">
        <f>IF(ISBLANK(A379), "", IF(SUMIFS('Annotated Papers'!I:I, 'Annotated Papers'!A:A,A379)&gt;0,1,0))</f>
        <v/>
      </c>
      <c r="H379" t="str">
        <f>IF(ISBLANK(A379), "", IF(SUMIFS('Annotated Papers'!L:L, 'Annotated Papers'!A:A,A379)&gt;0,1,0))</f>
        <v/>
      </c>
    </row>
    <row r="380" spans="1:8" ht="14">
      <c r="A380" s="25"/>
      <c r="B380" t="str">
        <f>IF(ISBLANK(A380), "", VLOOKUP(A380,'Annotated Papers'!379:1418,2,FALSE))</f>
        <v/>
      </c>
      <c r="C380" s="24" t="str">
        <f>IF(ISBLANK(A380), "", VLOOKUP(A380,'Annotated Papers'!379:1418,5,FALSE))</f>
        <v/>
      </c>
      <c r="D380" t="str">
        <f>IF(ISBLANK(A380), "", IF(COUNTIF('Annotated Papers'!A:A,A380)&gt;1,1,0))</f>
        <v/>
      </c>
      <c r="E380" t="str">
        <f>IF(ISBLANK(A380), "", IF(SUMIFS('Annotated Papers'!G:G, 'Annotated Papers'!A:A,A380)&gt;0,1,0))</f>
        <v/>
      </c>
      <c r="F380" t="str">
        <f>IF(ISBLANK(A380), "", IF(SUMIFS('Annotated Papers'!H:H, 'Annotated Papers'!A:A,A380)&gt;0,1,0))</f>
        <v/>
      </c>
      <c r="G380" t="str">
        <f>IF(ISBLANK(A380), "", IF(SUMIFS('Annotated Papers'!I:I, 'Annotated Papers'!A:A,A380)&gt;0,1,0))</f>
        <v/>
      </c>
      <c r="H380" t="str">
        <f>IF(ISBLANK(A380), "", IF(SUMIFS('Annotated Papers'!L:L, 'Annotated Papers'!A:A,A380)&gt;0,1,0))</f>
        <v/>
      </c>
    </row>
    <row r="381" spans="1:8" ht="14">
      <c r="A381" s="25"/>
      <c r="B381" t="str">
        <f>IF(ISBLANK(A381), "", VLOOKUP(A381,'Annotated Papers'!380:1419,2,FALSE))</f>
        <v/>
      </c>
      <c r="C381" s="24" t="str">
        <f>IF(ISBLANK(A381), "", VLOOKUP(A381,'Annotated Papers'!380:1419,5,FALSE))</f>
        <v/>
      </c>
      <c r="D381" t="str">
        <f>IF(ISBLANK(A381), "", IF(COUNTIF('Annotated Papers'!A:A,A381)&gt;1,1,0))</f>
        <v/>
      </c>
      <c r="E381" t="str">
        <f>IF(ISBLANK(A381), "", IF(SUMIFS('Annotated Papers'!G:G, 'Annotated Papers'!A:A,A381)&gt;0,1,0))</f>
        <v/>
      </c>
      <c r="F381" t="str">
        <f>IF(ISBLANK(A381), "", IF(SUMIFS('Annotated Papers'!H:H, 'Annotated Papers'!A:A,A381)&gt;0,1,0))</f>
        <v/>
      </c>
      <c r="G381" t="str">
        <f>IF(ISBLANK(A381), "", IF(SUMIFS('Annotated Papers'!I:I, 'Annotated Papers'!A:A,A381)&gt;0,1,0))</f>
        <v/>
      </c>
      <c r="H381" t="str">
        <f>IF(ISBLANK(A381), "", IF(SUMIFS('Annotated Papers'!L:L, 'Annotated Papers'!A:A,A381)&gt;0,1,0))</f>
        <v/>
      </c>
    </row>
    <row r="382" spans="1:8" ht="14">
      <c r="A382" s="25"/>
      <c r="C382" s="24"/>
    </row>
    <row r="383" spans="1:8" ht="14">
      <c r="A383" s="25"/>
      <c r="C383" s="24"/>
    </row>
    <row r="384" spans="1:8" ht="14">
      <c r="A384" s="25"/>
      <c r="C384" s="24"/>
    </row>
    <row r="385" spans="1:3" ht="14">
      <c r="A385" s="25"/>
      <c r="C385" s="24"/>
    </row>
    <row r="386" spans="1:3" ht="14">
      <c r="A386" s="25"/>
      <c r="C386" s="24"/>
    </row>
    <row r="387" spans="1:3" ht="14">
      <c r="A387" s="25"/>
      <c r="C387" s="24"/>
    </row>
    <row r="388" spans="1:3" ht="14">
      <c r="A388" s="25"/>
      <c r="C388" s="24"/>
    </row>
    <row r="389" spans="1:3" ht="14">
      <c r="A389" s="25"/>
      <c r="C389" s="24"/>
    </row>
    <row r="390" spans="1:3" ht="14">
      <c r="A390" s="25"/>
      <c r="C390" s="24"/>
    </row>
    <row r="391" spans="1:3" ht="14">
      <c r="A391" s="25"/>
      <c r="C391" s="24"/>
    </row>
    <row r="392" spans="1:3" ht="14">
      <c r="A392" s="25"/>
      <c r="C392" s="24"/>
    </row>
    <row r="393" spans="1:3" ht="14">
      <c r="A393" s="25"/>
      <c r="C393" s="24"/>
    </row>
    <row r="394" spans="1:3" ht="14">
      <c r="A394" s="25"/>
      <c r="C394" s="24"/>
    </row>
    <row r="395" spans="1:3" ht="14">
      <c r="A395" s="25"/>
      <c r="C395" s="24"/>
    </row>
    <row r="396" spans="1:3" ht="14">
      <c r="A396" s="25"/>
      <c r="C396" s="24"/>
    </row>
    <row r="397" spans="1:3" ht="14">
      <c r="A397" s="25"/>
      <c r="C397" s="24"/>
    </row>
    <row r="398" spans="1:3" ht="14">
      <c r="A398" s="25"/>
      <c r="C398" s="24"/>
    </row>
    <row r="399" spans="1:3" ht="14">
      <c r="A399" s="25"/>
      <c r="C399" s="24"/>
    </row>
    <row r="400" spans="1:3" ht="14">
      <c r="A400" s="25"/>
      <c r="C400" s="24"/>
    </row>
    <row r="401" spans="1:3" ht="14">
      <c r="A401" s="25"/>
      <c r="C401" s="24"/>
    </row>
    <row r="402" spans="1:3" ht="14">
      <c r="A402" s="25"/>
      <c r="C402" s="24"/>
    </row>
    <row r="403" spans="1:3" ht="14">
      <c r="A403" s="25"/>
      <c r="C403" s="24"/>
    </row>
    <row r="404" spans="1:3" ht="14">
      <c r="A404" s="25"/>
      <c r="C404" s="24"/>
    </row>
    <row r="405" spans="1:3" ht="14">
      <c r="A405" s="25"/>
      <c r="C405" s="24"/>
    </row>
    <row r="406" spans="1:3" ht="14">
      <c r="A406" s="25"/>
      <c r="C406" s="24"/>
    </row>
    <row r="407" spans="1:3" ht="14">
      <c r="A407" s="25"/>
      <c r="C407" s="24"/>
    </row>
    <row r="408" spans="1:3" ht="14">
      <c r="A408" s="25"/>
      <c r="C408" s="24"/>
    </row>
    <row r="409" spans="1:3" ht="14">
      <c r="A409" s="25"/>
      <c r="C409" s="24"/>
    </row>
    <row r="410" spans="1:3" ht="14">
      <c r="A410" s="25"/>
      <c r="C410" s="24"/>
    </row>
    <row r="411" spans="1:3" ht="14">
      <c r="A411" s="25"/>
      <c r="C411" s="24"/>
    </row>
    <row r="412" spans="1:3" ht="14">
      <c r="A412" s="25"/>
      <c r="C412" s="24"/>
    </row>
    <row r="413" spans="1:3" ht="14">
      <c r="A413" s="25"/>
      <c r="C413" s="24"/>
    </row>
    <row r="414" spans="1:3" ht="14">
      <c r="A414" s="25"/>
      <c r="C414" s="24"/>
    </row>
    <row r="415" spans="1:3" ht="14">
      <c r="A415" s="25"/>
      <c r="C415" s="24"/>
    </row>
    <row r="416" spans="1:3" ht="14">
      <c r="A416" s="25"/>
      <c r="C416" s="24"/>
    </row>
    <row r="417" spans="1:3" ht="14">
      <c r="A417" s="25"/>
      <c r="C417" s="24"/>
    </row>
    <row r="418" spans="1:3" ht="14">
      <c r="A418" s="25"/>
      <c r="C418" s="24"/>
    </row>
    <row r="419" spans="1:3" ht="14">
      <c r="A419" s="25"/>
      <c r="C419" s="24"/>
    </row>
    <row r="420" spans="1:3" ht="14">
      <c r="A420" s="25"/>
      <c r="C420" s="24"/>
    </row>
    <row r="421" spans="1:3" ht="14">
      <c r="A421" s="25"/>
      <c r="C421" s="24"/>
    </row>
    <row r="422" spans="1:3" ht="14">
      <c r="A422" s="25"/>
      <c r="C422" s="24"/>
    </row>
    <row r="423" spans="1:3" ht="14">
      <c r="A423" s="25"/>
      <c r="C423" s="24"/>
    </row>
    <row r="424" spans="1:3" ht="14">
      <c r="A424" s="25"/>
      <c r="C424" s="24"/>
    </row>
    <row r="425" spans="1:3" ht="14">
      <c r="A425" s="25"/>
      <c r="C425" s="24"/>
    </row>
    <row r="426" spans="1:3" ht="14">
      <c r="A426" s="25"/>
      <c r="C426" s="24"/>
    </row>
    <row r="427" spans="1:3" ht="14">
      <c r="A427" s="25"/>
      <c r="C427" s="24"/>
    </row>
    <row r="428" spans="1:3" ht="14">
      <c r="A428" s="25"/>
      <c r="C428" s="24"/>
    </row>
    <row r="429" spans="1:3" ht="14">
      <c r="A429" s="25"/>
      <c r="C429" s="24"/>
    </row>
    <row r="430" spans="1:3" ht="14">
      <c r="A430" s="25"/>
      <c r="C430" s="24"/>
    </row>
    <row r="431" spans="1:3" ht="14">
      <c r="A431" s="25"/>
      <c r="C431" s="24"/>
    </row>
    <row r="432" spans="1:3" ht="14">
      <c r="A432" s="25"/>
      <c r="C432" s="24"/>
    </row>
    <row r="433" spans="1:3" ht="14">
      <c r="A433" s="25"/>
      <c r="C433" s="24"/>
    </row>
    <row r="434" spans="1:3" ht="14">
      <c r="A434" s="25"/>
      <c r="C434" s="24"/>
    </row>
    <row r="435" spans="1:3" ht="14">
      <c r="A435" s="25"/>
      <c r="C435" s="24"/>
    </row>
    <row r="436" spans="1:3" ht="14">
      <c r="A436" s="25"/>
      <c r="C436" s="24"/>
    </row>
    <row r="437" spans="1:3" ht="14">
      <c r="A437" s="25"/>
      <c r="C437" s="24"/>
    </row>
    <row r="438" spans="1:3" ht="14">
      <c r="A438" s="25"/>
      <c r="C438" s="24"/>
    </row>
    <row r="439" spans="1:3" ht="14">
      <c r="A439" s="25"/>
      <c r="C439" s="24"/>
    </row>
    <row r="440" spans="1:3" ht="14">
      <c r="A440" s="25"/>
      <c r="C440" s="24"/>
    </row>
    <row r="441" spans="1:3" ht="14">
      <c r="A441" s="25"/>
      <c r="C441" s="24"/>
    </row>
    <row r="442" spans="1:3" ht="14">
      <c r="A442" s="25"/>
      <c r="C442" s="24"/>
    </row>
    <row r="443" spans="1:3" ht="14">
      <c r="A443" s="25"/>
      <c r="C443" s="24"/>
    </row>
    <row r="444" spans="1:3" ht="14">
      <c r="A444" s="25"/>
      <c r="C444" s="24"/>
    </row>
    <row r="445" spans="1:3" ht="14">
      <c r="A445" s="25"/>
      <c r="C445" s="24"/>
    </row>
    <row r="446" spans="1:3" ht="14">
      <c r="A446" s="25"/>
      <c r="C446" s="24"/>
    </row>
    <row r="447" spans="1:3" ht="14">
      <c r="A447" s="25"/>
      <c r="C447" s="24"/>
    </row>
    <row r="448" spans="1:3" ht="14">
      <c r="A448" s="25"/>
      <c r="C448" s="24"/>
    </row>
    <row r="449" spans="1:3" ht="14">
      <c r="A449" s="25"/>
      <c r="C449" s="24"/>
    </row>
    <row r="450" spans="1:3" ht="14">
      <c r="A450" s="25"/>
      <c r="C450" s="24"/>
    </row>
    <row r="451" spans="1:3" ht="14">
      <c r="A451" s="25"/>
      <c r="C451" s="24"/>
    </row>
    <row r="452" spans="1:3" ht="14">
      <c r="A452" s="25"/>
      <c r="C452" s="24"/>
    </row>
    <row r="453" spans="1:3" ht="14">
      <c r="A453" s="25"/>
      <c r="C453" s="24"/>
    </row>
    <row r="454" spans="1:3" ht="14">
      <c r="A454" s="25"/>
      <c r="C454" s="24"/>
    </row>
    <row r="455" spans="1:3" ht="14">
      <c r="A455" s="25"/>
      <c r="C455" s="24"/>
    </row>
    <row r="456" spans="1:3" ht="14">
      <c r="A456" s="25"/>
      <c r="C456" s="24"/>
    </row>
    <row r="457" spans="1:3" ht="14">
      <c r="A457" s="25"/>
      <c r="C457" s="24"/>
    </row>
    <row r="458" spans="1:3" ht="14">
      <c r="A458" s="25"/>
      <c r="C458" s="24"/>
    </row>
    <row r="459" spans="1:3" ht="14">
      <c r="A459" s="25"/>
      <c r="C459" s="24"/>
    </row>
    <row r="460" spans="1:3" ht="14">
      <c r="A460" s="25"/>
      <c r="C460" s="24"/>
    </row>
    <row r="461" spans="1:3" ht="14">
      <c r="A461" s="25"/>
      <c r="C461" s="24"/>
    </row>
    <row r="462" spans="1:3" ht="14">
      <c r="A462" s="25"/>
      <c r="C462" s="24"/>
    </row>
    <row r="463" spans="1:3" ht="14">
      <c r="A463" s="25"/>
      <c r="C463" s="24"/>
    </row>
    <row r="464" spans="1:3" ht="14">
      <c r="A464" s="25"/>
      <c r="C464" s="24"/>
    </row>
    <row r="465" spans="1:3" ht="14">
      <c r="A465" s="25"/>
      <c r="C465" s="24"/>
    </row>
    <row r="466" spans="1:3" ht="14">
      <c r="A466" s="25"/>
      <c r="C466" s="24"/>
    </row>
    <row r="467" spans="1:3" ht="14">
      <c r="A467" s="25"/>
      <c r="C467" s="24"/>
    </row>
    <row r="468" spans="1:3" ht="14">
      <c r="A468" s="25"/>
      <c r="C468" s="24"/>
    </row>
    <row r="469" spans="1:3" ht="14">
      <c r="A469" s="25"/>
      <c r="C469" s="24"/>
    </row>
    <row r="470" spans="1:3" ht="14">
      <c r="A470" s="25"/>
      <c r="C470" s="24"/>
    </row>
    <row r="471" spans="1:3" ht="14">
      <c r="A471" s="25"/>
      <c r="C471" s="24"/>
    </row>
    <row r="472" spans="1:3" ht="14">
      <c r="A472" s="25"/>
      <c r="C472" s="24"/>
    </row>
    <row r="473" spans="1:3" ht="14">
      <c r="A473" s="25"/>
      <c r="C473" s="24"/>
    </row>
    <row r="474" spans="1:3" ht="14">
      <c r="A474" s="25"/>
      <c r="C474" s="24"/>
    </row>
    <row r="475" spans="1:3" ht="14">
      <c r="A475" s="25"/>
      <c r="C475" s="24"/>
    </row>
    <row r="476" spans="1:3" ht="14">
      <c r="A476" s="25"/>
      <c r="C476" s="24"/>
    </row>
    <row r="477" spans="1:3" ht="14">
      <c r="A477" s="25"/>
      <c r="C477" s="24"/>
    </row>
    <row r="478" spans="1:3" ht="14">
      <c r="A478" s="25"/>
      <c r="C478" s="24"/>
    </row>
    <row r="479" spans="1:3" ht="14">
      <c r="A479" s="25"/>
      <c r="C479" s="24"/>
    </row>
    <row r="480" spans="1:3" ht="14">
      <c r="A480" s="25"/>
      <c r="C480" s="24"/>
    </row>
    <row r="481" spans="1:3" ht="14">
      <c r="A481" s="25"/>
      <c r="C481" s="24"/>
    </row>
    <row r="482" spans="1:3" ht="14">
      <c r="A482" s="25"/>
      <c r="C482" s="24"/>
    </row>
    <row r="483" spans="1:3" ht="14">
      <c r="A483" s="25"/>
      <c r="C483" s="24"/>
    </row>
    <row r="484" spans="1:3" ht="14">
      <c r="A484" s="25"/>
      <c r="C484" s="24"/>
    </row>
    <row r="485" spans="1:3" ht="14">
      <c r="A485" s="25"/>
      <c r="C485" s="24"/>
    </row>
    <row r="486" spans="1:3" ht="14">
      <c r="A486" s="25"/>
      <c r="C486" s="24"/>
    </row>
    <row r="487" spans="1:3" ht="14">
      <c r="A487" s="25"/>
      <c r="C487" s="24"/>
    </row>
    <row r="488" spans="1:3" ht="14">
      <c r="A488" s="25"/>
      <c r="C488" s="24"/>
    </row>
    <row r="489" spans="1:3" ht="14">
      <c r="A489" s="25"/>
      <c r="C489" s="24"/>
    </row>
    <row r="490" spans="1:3" ht="14">
      <c r="A490" s="25"/>
      <c r="C490" s="24"/>
    </row>
    <row r="491" spans="1:3" ht="14">
      <c r="A491" s="25"/>
      <c r="C491" s="24"/>
    </row>
    <row r="492" spans="1:3" ht="14">
      <c r="A492" s="25"/>
      <c r="C492" s="24"/>
    </row>
    <row r="493" spans="1:3" ht="14">
      <c r="A493" s="25"/>
      <c r="C493" s="24"/>
    </row>
    <row r="494" spans="1:3" ht="14">
      <c r="A494" s="25"/>
      <c r="C494" s="24"/>
    </row>
    <row r="495" spans="1:3" ht="14">
      <c r="A495" s="25"/>
      <c r="C495" s="24"/>
    </row>
    <row r="496" spans="1:3" ht="14">
      <c r="A496" s="25"/>
      <c r="C496" s="24"/>
    </row>
    <row r="497" spans="1:3" ht="14">
      <c r="A497" s="25"/>
      <c r="C497" s="24"/>
    </row>
    <row r="498" spans="1:3" ht="14">
      <c r="A498" s="25"/>
      <c r="C498" s="24"/>
    </row>
    <row r="499" spans="1:3" ht="14">
      <c r="A499" s="25"/>
      <c r="C499" s="24"/>
    </row>
    <row r="500" spans="1:3" ht="14">
      <c r="A500" s="25"/>
      <c r="C500" s="24"/>
    </row>
    <row r="501" spans="1:3" ht="14">
      <c r="A501" s="25"/>
      <c r="C501" s="24"/>
    </row>
    <row r="502" spans="1:3" ht="14">
      <c r="A502" s="25"/>
      <c r="C502" s="24"/>
    </row>
    <row r="503" spans="1:3" ht="14">
      <c r="A503" s="25"/>
      <c r="C503" s="24"/>
    </row>
    <row r="504" spans="1:3" ht="14">
      <c r="A504" s="25"/>
      <c r="C504" s="24"/>
    </row>
    <row r="505" spans="1:3" ht="14">
      <c r="A505" s="25"/>
      <c r="C505" s="24"/>
    </row>
    <row r="506" spans="1:3" ht="14">
      <c r="A506" s="25"/>
      <c r="C506" s="24"/>
    </row>
    <row r="507" spans="1:3" ht="14">
      <c r="A507" s="25"/>
      <c r="C507" s="24"/>
    </row>
    <row r="508" spans="1:3" ht="14">
      <c r="A508" s="25"/>
      <c r="C508" s="24"/>
    </row>
    <row r="509" spans="1:3" ht="14">
      <c r="A509" s="25"/>
      <c r="C509" s="24"/>
    </row>
    <row r="510" spans="1:3" ht="14">
      <c r="A510" s="25"/>
      <c r="C510" s="24"/>
    </row>
    <row r="511" spans="1:3" ht="14">
      <c r="A511" s="25"/>
      <c r="C511" s="24"/>
    </row>
    <row r="512" spans="1:3" ht="14">
      <c r="A512" s="25"/>
      <c r="C512" s="24"/>
    </row>
    <row r="513" spans="1:3" ht="14">
      <c r="A513" s="25"/>
      <c r="C513" s="24"/>
    </row>
    <row r="514" spans="1:3" ht="14">
      <c r="A514" s="25"/>
      <c r="C514" s="24"/>
    </row>
    <row r="515" spans="1:3" ht="14">
      <c r="A515" s="25"/>
      <c r="C515" s="24"/>
    </row>
    <row r="516" spans="1:3" ht="14">
      <c r="A516" s="25"/>
      <c r="C516" s="24"/>
    </row>
    <row r="517" spans="1:3" ht="14">
      <c r="A517" s="25"/>
      <c r="C517" s="24"/>
    </row>
    <row r="518" spans="1:3" ht="14">
      <c r="A518" s="25"/>
      <c r="C518" s="24"/>
    </row>
    <row r="519" spans="1:3" ht="14">
      <c r="A519" s="25"/>
      <c r="C519" s="24"/>
    </row>
    <row r="520" spans="1:3" ht="14">
      <c r="A520" s="25"/>
      <c r="C520" s="24"/>
    </row>
    <row r="521" spans="1:3" ht="14">
      <c r="A521" s="25"/>
      <c r="C521" s="24"/>
    </row>
    <row r="522" spans="1:3" ht="14">
      <c r="A522" s="25"/>
      <c r="C522" s="24"/>
    </row>
    <row r="523" spans="1:3" ht="14">
      <c r="A523" s="25"/>
      <c r="C523" s="24"/>
    </row>
    <row r="524" spans="1:3" ht="14">
      <c r="A524" s="25"/>
      <c r="C524" s="24"/>
    </row>
    <row r="525" spans="1:3" ht="14">
      <c r="A525" s="25"/>
      <c r="C525" s="24"/>
    </row>
    <row r="526" spans="1:3" ht="14">
      <c r="A526" s="25"/>
      <c r="C526" s="24"/>
    </row>
    <row r="527" spans="1:3" ht="14">
      <c r="A527" s="25"/>
      <c r="C527" s="24"/>
    </row>
    <row r="528" spans="1:3" ht="14">
      <c r="A528" s="25"/>
      <c r="C528" s="24"/>
    </row>
    <row r="529" spans="1:3" ht="14">
      <c r="A529" s="25"/>
      <c r="C529" s="24"/>
    </row>
    <row r="530" spans="1:3" ht="14">
      <c r="A530" s="25"/>
      <c r="C530" s="24"/>
    </row>
    <row r="531" spans="1:3" ht="14">
      <c r="A531" s="25"/>
      <c r="C531" s="24"/>
    </row>
    <row r="532" spans="1:3" ht="14">
      <c r="A532" s="25"/>
      <c r="C532" s="24"/>
    </row>
    <row r="533" spans="1:3" ht="14">
      <c r="A533" s="25"/>
      <c r="C533" s="24"/>
    </row>
    <row r="534" spans="1:3" ht="14">
      <c r="A534" s="25"/>
      <c r="C534" s="24"/>
    </row>
    <row r="535" spans="1:3" ht="14">
      <c r="A535" s="25"/>
      <c r="C535" s="24"/>
    </row>
    <row r="536" spans="1:3" ht="14">
      <c r="A536" s="25"/>
      <c r="C536" s="24"/>
    </row>
    <row r="537" spans="1:3" ht="14">
      <c r="A537" s="25"/>
      <c r="C537" s="24"/>
    </row>
    <row r="538" spans="1:3" ht="14">
      <c r="A538" s="25"/>
      <c r="C538" s="24"/>
    </row>
    <row r="539" spans="1:3" ht="14">
      <c r="A539" s="25"/>
      <c r="C539" s="24"/>
    </row>
    <row r="540" spans="1:3" ht="14">
      <c r="A540" s="25"/>
      <c r="C540" s="24"/>
    </row>
    <row r="541" spans="1:3" ht="14">
      <c r="A541" s="25"/>
      <c r="C541" s="24"/>
    </row>
    <row r="542" spans="1:3" ht="14">
      <c r="A542" s="25"/>
      <c r="C542" s="24"/>
    </row>
    <row r="543" spans="1:3" ht="14">
      <c r="A543" s="25"/>
      <c r="C543" s="24"/>
    </row>
    <row r="544" spans="1:3" ht="14">
      <c r="A544" s="25"/>
      <c r="C544" s="24"/>
    </row>
    <row r="545" spans="1:3" ht="14">
      <c r="A545" s="25"/>
      <c r="C545" s="24"/>
    </row>
    <row r="546" spans="1:3" ht="14">
      <c r="A546" s="25"/>
      <c r="C546" s="24"/>
    </row>
    <row r="547" spans="1:3" ht="14">
      <c r="A547" s="25"/>
      <c r="C547" s="24"/>
    </row>
    <row r="548" spans="1:3" ht="14">
      <c r="A548" s="25"/>
      <c r="C548" s="24"/>
    </row>
    <row r="549" spans="1:3" ht="14">
      <c r="A549" s="25"/>
      <c r="C549" s="24"/>
    </row>
    <row r="550" spans="1:3" ht="14">
      <c r="A550" s="25"/>
      <c r="C550" s="24"/>
    </row>
    <row r="551" spans="1:3" ht="14">
      <c r="A551" s="25"/>
      <c r="C551" s="24"/>
    </row>
    <row r="552" spans="1:3" ht="14">
      <c r="A552" s="25"/>
      <c r="C552" s="24"/>
    </row>
    <row r="553" spans="1:3" ht="14">
      <c r="A553" s="25"/>
      <c r="C553" s="24"/>
    </row>
    <row r="554" spans="1:3" ht="14">
      <c r="A554" s="25"/>
      <c r="C554" s="24"/>
    </row>
    <row r="555" spans="1:3" ht="14">
      <c r="A555" s="25"/>
      <c r="C555" s="24"/>
    </row>
    <row r="556" spans="1:3" ht="14">
      <c r="A556" s="25"/>
      <c r="C556" s="24"/>
    </row>
    <row r="557" spans="1:3" ht="14">
      <c r="A557" s="25"/>
      <c r="C557" s="24"/>
    </row>
    <row r="558" spans="1:3" ht="14">
      <c r="A558" s="25"/>
      <c r="C558" s="24"/>
    </row>
    <row r="559" spans="1:3" ht="14">
      <c r="A559" s="25"/>
      <c r="C559" s="24"/>
    </row>
    <row r="560" spans="1:3" ht="14">
      <c r="A560" s="25"/>
      <c r="C560" s="24"/>
    </row>
    <row r="561" spans="1:3" ht="14">
      <c r="A561" s="25"/>
      <c r="C561" s="24"/>
    </row>
    <row r="562" spans="1:3" ht="14">
      <c r="A562" s="25"/>
      <c r="C562" s="24"/>
    </row>
    <row r="563" spans="1:3" ht="14">
      <c r="A563" s="25"/>
      <c r="C563" s="24"/>
    </row>
    <row r="564" spans="1:3" ht="14">
      <c r="A564" s="25"/>
      <c r="C564" s="24"/>
    </row>
    <row r="565" spans="1:3" ht="14">
      <c r="A565" s="25"/>
      <c r="C565" s="24"/>
    </row>
    <row r="566" spans="1:3" ht="14">
      <c r="A566" s="25"/>
      <c r="C566" s="24"/>
    </row>
    <row r="567" spans="1:3" ht="14">
      <c r="A567" s="25"/>
      <c r="C567" s="24"/>
    </row>
    <row r="568" spans="1:3" ht="14">
      <c r="A568" s="25"/>
      <c r="C568" s="24"/>
    </row>
    <row r="569" spans="1:3" ht="14">
      <c r="A569" s="25"/>
      <c r="C569" s="24"/>
    </row>
    <row r="570" spans="1:3" ht="14">
      <c r="A570" s="25"/>
      <c r="C570" s="24"/>
    </row>
    <row r="571" spans="1:3" ht="14">
      <c r="A571" s="25"/>
      <c r="C571" s="24"/>
    </row>
    <row r="572" spans="1:3" ht="14">
      <c r="A572" s="25"/>
      <c r="C572" s="24"/>
    </row>
    <row r="573" spans="1:3" ht="14">
      <c r="A573" s="25"/>
      <c r="C573" s="24"/>
    </row>
    <row r="574" spans="1:3" ht="14">
      <c r="A574" s="25"/>
      <c r="C574" s="24"/>
    </row>
    <row r="575" spans="1:3" ht="14">
      <c r="A575" s="25"/>
      <c r="C575" s="24"/>
    </row>
    <row r="576" spans="1:3" ht="14">
      <c r="A576" s="25"/>
      <c r="C576" s="24"/>
    </row>
    <row r="577" spans="1:3" ht="14">
      <c r="A577" s="25"/>
      <c r="C577" s="24"/>
    </row>
    <row r="578" spans="1:3" ht="14">
      <c r="A578" s="25"/>
      <c r="C578" s="24"/>
    </row>
    <row r="579" spans="1:3" ht="14">
      <c r="A579" s="25"/>
      <c r="C579" s="24"/>
    </row>
    <row r="580" spans="1:3" ht="14">
      <c r="A580" s="25"/>
      <c r="C580" s="24"/>
    </row>
    <row r="581" spans="1:3" ht="14">
      <c r="A581" s="25"/>
      <c r="C581" s="24"/>
    </row>
    <row r="582" spans="1:3" ht="14">
      <c r="A582" s="25"/>
      <c r="C582" s="24"/>
    </row>
    <row r="583" spans="1:3" ht="14">
      <c r="A583" s="25"/>
      <c r="C583" s="24"/>
    </row>
    <row r="584" spans="1:3" ht="14">
      <c r="A584" s="25"/>
      <c r="C584" s="24"/>
    </row>
    <row r="585" spans="1:3" ht="14">
      <c r="A585" s="25"/>
      <c r="C585" s="24"/>
    </row>
    <row r="586" spans="1:3" ht="14">
      <c r="A586" s="25"/>
      <c r="C586" s="24"/>
    </row>
    <row r="587" spans="1:3" ht="14">
      <c r="A587" s="25"/>
      <c r="C587" s="24"/>
    </row>
    <row r="588" spans="1:3" ht="14">
      <c r="A588" s="25"/>
      <c r="C588" s="24"/>
    </row>
    <row r="589" spans="1:3" ht="14">
      <c r="A589" s="25"/>
      <c r="C589" s="24"/>
    </row>
    <row r="590" spans="1:3" ht="14">
      <c r="A590" s="25"/>
      <c r="C590" s="24"/>
    </row>
    <row r="591" spans="1:3" ht="14">
      <c r="A591" s="25"/>
      <c r="C591" s="24"/>
    </row>
    <row r="592" spans="1:3" ht="14">
      <c r="A592" s="25"/>
      <c r="C592" s="24"/>
    </row>
    <row r="593" spans="1:3" ht="14">
      <c r="A593" s="25"/>
      <c r="C593" s="24"/>
    </row>
    <row r="594" spans="1:3" ht="14">
      <c r="A594" s="25"/>
      <c r="C594" s="24"/>
    </row>
    <row r="595" spans="1:3" ht="14">
      <c r="A595" s="25"/>
      <c r="C595" s="24"/>
    </row>
    <row r="596" spans="1:3" ht="14">
      <c r="A596" s="25"/>
      <c r="C596" s="24"/>
    </row>
    <row r="597" spans="1:3" ht="14">
      <c r="A597" s="25"/>
      <c r="C597" s="24"/>
    </row>
    <row r="598" spans="1:3" ht="14">
      <c r="A598" s="25"/>
      <c r="C598" s="24"/>
    </row>
    <row r="599" spans="1:3" ht="14">
      <c r="A599" s="25"/>
      <c r="C599" s="24"/>
    </row>
    <row r="600" spans="1:3" ht="14">
      <c r="A600" s="25"/>
      <c r="C600" s="24"/>
    </row>
    <row r="601" spans="1:3" ht="14">
      <c r="A601" s="25"/>
      <c r="C601" s="24"/>
    </row>
    <row r="602" spans="1:3" ht="14">
      <c r="A602" s="25"/>
      <c r="C602" s="24"/>
    </row>
    <row r="603" spans="1:3" ht="14">
      <c r="A603" s="25"/>
      <c r="C603" s="24"/>
    </row>
    <row r="604" spans="1:3" ht="14">
      <c r="A604" s="25"/>
      <c r="C604" s="24"/>
    </row>
    <row r="605" spans="1:3" ht="14">
      <c r="A605" s="25"/>
      <c r="C605" s="24"/>
    </row>
    <row r="606" spans="1:3" ht="14">
      <c r="A606" s="25"/>
      <c r="C606" s="24"/>
    </row>
    <row r="607" spans="1:3" ht="14">
      <c r="A607" s="25"/>
      <c r="C607" s="24"/>
    </row>
    <row r="608" spans="1:3" ht="14">
      <c r="A608" s="25"/>
      <c r="C608" s="24"/>
    </row>
    <row r="609" spans="1:3" ht="14">
      <c r="A609" s="25"/>
      <c r="C609" s="24"/>
    </row>
    <row r="610" spans="1:3" ht="14">
      <c r="A610" s="25"/>
      <c r="C610" s="24"/>
    </row>
    <row r="611" spans="1:3" ht="14">
      <c r="A611" s="25"/>
      <c r="C611" s="24"/>
    </row>
    <row r="612" spans="1:3" ht="14">
      <c r="A612" s="25"/>
      <c r="C612" s="24"/>
    </row>
    <row r="613" spans="1:3" ht="14">
      <c r="A613" s="25"/>
      <c r="C613" s="24"/>
    </row>
    <row r="614" spans="1:3" ht="14">
      <c r="A614" s="25"/>
      <c r="C614" s="24"/>
    </row>
    <row r="615" spans="1:3" ht="14">
      <c r="A615" s="25"/>
      <c r="C615" s="24"/>
    </row>
    <row r="616" spans="1:3" ht="14">
      <c r="A616" s="25"/>
      <c r="C616" s="24"/>
    </row>
    <row r="617" spans="1:3" ht="14">
      <c r="A617" s="25"/>
      <c r="C617" s="24"/>
    </row>
    <row r="618" spans="1:3" ht="14">
      <c r="A618" s="25"/>
      <c r="C618" s="24"/>
    </row>
    <row r="619" spans="1:3" ht="14">
      <c r="A619" s="25"/>
      <c r="C619" s="24"/>
    </row>
    <row r="620" spans="1:3" ht="14">
      <c r="A620" s="25"/>
      <c r="C620" s="24"/>
    </row>
    <row r="621" spans="1:3" ht="14">
      <c r="A621" s="25"/>
      <c r="C621" s="24"/>
    </row>
    <row r="622" spans="1:3" ht="14">
      <c r="A622" s="25"/>
      <c r="C622" s="24"/>
    </row>
    <row r="623" spans="1:3" ht="14">
      <c r="A623" s="25"/>
      <c r="C623" s="24"/>
    </row>
    <row r="624" spans="1:3" ht="14">
      <c r="A624" s="25"/>
      <c r="C624" s="24"/>
    </row>
    <row r="625" spans="1:3" ht="14">
      <c r="A625" s="25"/>
      <c r="C625" s="24"/>
    </row>
    <row r="626" spans="1:3" ht="14">
      <c r="A626" s="25"/>
      <c r="C626" s="24"/>
    </row>
    <row r="627" spans="1:3" ht="14">
      <c r="A627" s="25"/>
      <c r="C627" s="24"/>
    </row>
    <row r="628" spans="1:3" ht="14">
      <c r="A628" s="25"/>
      <c r="C628" s="24"/>
    </row>
    <row r="629" spans="1:3" ht="14">
      <c r="A629" s="25"/>
      <c r="C629" s="24"/>
    </row>
    <row r="630" spans="1:3" ht="14">
      <c r="A630" s="25"/>
      <c r="C630" s="24"/>
    </row>
    <row r="631" spans="1:3" ht="14">
      <c r="A631" s="25"/>
      <c r="C631" s="24"/>
    </row>
    <row r="632" spans="1:3" ht="14">
      <c r="A632" s="25"/>
      <c r="C632" s="24"/>
    </row>
    <row r="633" spans="1:3" ht="14">
      <c r="A633" s="25"/>
      <c r="C633" s="24"/>
    </row>
    <row r="634" spans="1:3" ht="14">
      <c r="A634" s="25"/>
      <c r="C634" s="24"/>
    </row>
    <row r="635" spans="1:3" ht="14">
      <c r="A635" s="25"/>
      <c r="C635" s="24"/>
    </row>
    <row r="636" spans="1:3" ht="14">
      <c r="A636" s="25"/>
      <c r="C636" s="24"/>
    </row>
    <row r="637" spans="1:3" ht="14">
      <c r="A637" s="25"/>
      <c r="C637" s="24"/>
    </row>
    <row r="638" spans="1:3" ht="14">
      <c r="A638" s="25"/>
      <c r="C638" s="24"/>
    </row>
    <row r="639" spans="1:3" ht="14">
      <c r="A639" s="25"/>
      <c r="C639" s="24"/>
    </row>
    <row r="640" spans="1:3" ht="14">
      <c r="A640" s="25"/>
      <c r="C640" s="24"/>
    </row>
    <row r="641" spans="1:3" ht="14">
      <c r="A641" s="25"/>
      <c r="C641" s="24"/>
    </row>
    <row r="642" spans="1:3" ht="14">
      <c r="A642" s="25"/>
      <c r="C642" s="24"/>
    </row>
    <row r="643" spans="1:3" ht="14">
      <c r="A643" s="25"/>
      <c r="C643" s="24"/>
    </row>
    <row r="644" spans="1:3" ht="14">
      <c r="A644" s="25"/>
      <c r="C644" s="24"/>
    </row>
    <row r="645" spans="1:3" ht="14">
      <c r="A645" s="25"/>
      <c r="C645" s="24"/>
    </row>
    <row r="646" spans="1:3" ht="14">
      <c r="A646" s="25"/>
      <c r="C646" s="24"/>
    </row>
    <row r="647" spans="1:3" ht="14">
      <c r="A647" s="25"/>
      <c r="C647" s="24"/>
    </row>
    <row r="648" spans="1:3" ht="14">
      <c r="A648" s="25"/>
      <c r="C648" s="24"/>
    </row>
    <row r="649" spans="1:3" ht="14">
      <c r="A649" s="25"/>
      <c r="C649" s="24"/>
    </row>
    <row r="650" spans="1:3" ht="14">
      <c r="A650" s="25"/>
      <c r="C650" s="24"/>
    </row>
    <row r="651" spans="1:3" ht="14">
      <c r="A651" s="25"/>
      <c r="C651" s="24"/>
    </row>
    <row r="652" spans="1:3" ht="14">
      <c r="A652" s="25"/>
      <c r="C652" s="24"/>
    </row>
    <row r="653" spans="1:3" ht="14">
      <c r="A653" s="25"/>
      <c r="C653" s="24"/>
    </row>
    <row r="654" spans="1:3" ht="14">
      <c r="A654" s="25"/>
      <c r="C654" s="24"/>
    </row>
    <row r="655" spans="1:3" ht="14">
      <c r="A655" s="25"/>
      <c r="C655" s="24"/>
    </row>
    <row r="656" spans="1:3" ht="14">
      <c r="A656" s="25"/>
      <c r="C656" s="24"/>
    </row>
    <row r="657" spans="1:3" ht="14">
      <c r="A657" s="25"/>
      <c r="C657" s="24"/>
    </row>
    <row r="658" spans="1:3" ht="14">
      <c r="A658" s="25"/>
      <c r="C658" s="24"/>
    </row>
    <row r="659" spans="1:3" ht="14">
      <c r="A659" s="25"/>
      <c r="C659" s="24"/>
    </row>
    <row r="660" spans="1:3" ht="14">
      <c r="A660" s="25"/>
      <c r="C660" s="24"/>
    </row>
    <row r="661" spans="1:3" ht="14">
      <c r="A661" s="25"/>
      <c r="C661" s="24"/>
    </row>
    <row r="662" spans="1:3" ht="14">
      <c r="A662" s="25"/>
      <c r="C662" s="24"/>
    </row>
    <row r="663" spans="1:3" ht="14">
      <c r="A663" s="25"/>
      <c r="C663" s="24"/>
    </row>
    <row r="664" spans="1:3" ht="14">
      <c r="A664" s="25"/>
      <c r="C664" s="24"/>
    </row>
    <row r="665" spans="1:3" ht="14">
      <c r="A665" s="25"/>
      <c r="C665" s="24"/>
    </row>
    <row r="666" spans="1:3" ht="14">
      <c r="A666" s="25"/>
      <c r="C666" s="24"/>
    </row>
    <row r="667" spans="1:3" ht="14">
      <c r="A667" s="25"/>
      <c r="C667" s="24"/>
    </row>
    <row r="668" spans="1:3" ht="14">
      <c r="A668" s="25"/>
      <c r="C668" s="24"/>
    </row>
    <row r="669" spans="1:3" ht="14">
      <c r="A669" s="25"/>
      <c r="C669" s="24"/>
    </row>
    <row r="670" spans="1:3" ht="14">
      <c r="A670" s="25"/>
      <c r="C670" s="24"/>
    </row>
    <row r="671" spans="1:3" ht="14">
      <c r="A671" s="25"/>
      <c r="C671" s="24"/>
    </row>
    <row r="672" spans="1:3" ht="14">
      <c r="A672" s="25"/>
      <c r="C672" s="24"/>
    </row>
    <row r="673" spans="1:3" ht="14">
      <c r="A673" s="25"/>
      <c r="C673" s="24"/>
    </row>
    <row r="674" spans="1:3" ht="14">
      <c r="A674" s="25"/>
      <c r="C674" s="24"/>
    </row>
    <row r="675" spans="1:3" ht="14">
      <c r="A675" s="25"/>
      <c r="C675" s="24"/>
    </row>
    <row r="676" spans="1:3" ht="14">
      <c r="A676" s="25"/>
      <c r="C676" s="24"/>
    </row>
    <row r="677" spans="1:3" ht="14">
      <c r="A677" s="25"/>
      <c r="C677" s="24"/>
    </row>
    <row r="678" spans="1:3" ht="14">
      <c r="A678" s="25"/>
      <c r="C678" s="24"/>
    </row>
    <row r="679" spans="1:3" ht="14">
      <c r="A679" s="25"/>
      <c r="C679" s="24"/>
    </row>
    <row r="680" spans="1:3" ht="14">
      <c r="A680" s="25"/>
      <c r="C680" s="24"/>
    </row>
    <row r="681" spans="1:3" ht="14">
      <c r="A681" s="25"/>
      <c r="C681" s="24"/>
    </row>
    <row r="682" spans="1:3" ht="14">
      <c r="A682" s="25"/>
      <c r="C682" s="24"/>
    </row>
    <row r="683" spans="1:3" ht="14">
      <c r="A683" s="25"/>
      <c r="C683" s="24"/>
    </row>
    <row r="684" spans="1:3" ht="14">
      <c r="A684" s="25"/>
      <c r="C684" s="24"/>
    </row>
    <row r="685" spans="1:3" ht="14">
      <c r="A685" s="25"/>
      <c r="C685" s="24"/>
    </row>
    <row r="686" spans="1:3" ht="14">
      <c r="A686" s="25"/>
      <c r="C686" s="24"/>
    </row>
    <row r="687" spans="1:3" ht="14">
      <c r="A687" s="25"/>
      <c r="C687" s="24"/>
    </row>
    <row r="688" spans="1:3" ht="14">
      <c r="A688" s="25"/>
      <c r="C688" s="24"/>
    </row>
    <row r="689" spans="1:3" ht="14">
      <c r="A689" s="25"/>
      <c r="C689" s="24"/>
    </row>
    <row r="690" spans="1:3" ht="14">
      <c r="A690" s="25"/>
      <c r="C690" s="24"/>
    </row>
    <row r="691" spans="1:3" ht="14">
      <c r="A691" s="25"/>
      <c r="C691" s="24"/>
    </row>
    <row r="692" spans="1:3" ht="14">
      <c r="A692" s="25"/>
      <c r="C692" s="24"/>
    </row>
    <row r="693" spans="1:3" ht="14">
      <c r="A693" s="25"/>
      <c r="C693" s="24"/>
    </row>
    <row r="694" spans="1:3" ht="14">
      <c r="A694" s="25"/>
      <c r="C694" s="24"/>
    </row>
    <row r="695" spans="1:3" ht="14">
      <c r="A695" s="25"/>
      <c r="C695" s="24"/>
    </row>
    <row r="696" spans="1:3" ht="14">
      <c r="A696" s="25"/>
      <c r="C696" s="24"/>
    </row>
    <row r="697" spans="1:3" ht="14">
      <c r="A697" s="25"/>
      <c r="C697" s="24"/>
    </row>
    <row r="698" spans="1:3" ht="14">
      <c r="A698" s="25"/>
      <c r="C698" s="24"/>
    </row>
    <row r="699" spans="1:3" ht="14">
      <c r="A699" s="25"/>
      <c r="C699" s="24"/>
    </row>
    <row r="700" spans="1:3" ht="14">
      <c r="A700" s="25"/>
      <c r="C700" s="24"/>
    </row>
    <row r="701" spans="1:3" ht="14">
      <c r="A701" s="25"/>
      <c r="C701" s="24"/>
    </row>
    <row r="702" spans="1:3" ht="14">
      <c r="A702" s="25"/>
      <c r="C702" s="24"/>
    </row>
    <row r="703" spans="1:3" ht="14">
      <c r="A703" s="25"/>
      <c r="C703" s="24"/>
    </row>
    <row r="704" spans="1:3" ht="14">
      <c r="A704" s="25"/>
      <c r="C704" s="24"/>
    </row>
    <row r="705" spans="1:3" ht="14">
      <c r="A705" s="25"/>
      <c r="C705" s="24"/>
    </row>
    <row r="706" spans="1:3" ht="14">
      <c r="A706" s="25"/>
      <c r="C706" s="24"/>
    </row>
    <row r="707" spans="1:3" ht="14">
      <c r="A707" s="25"/>
      <c r="C707" s="24"/>
    </row>
    <row r="708" spans="1:3" ht="14">
      <c r="A708" s="25"/>
      <c r="C708" s="24"/>
    </row>
    <row r="709" spans="1:3" ht="14">
      <c r="A709" s="25"/>
      <c r="C709" s="24"/>
    </row>
    <row r="710" spans="1:3" ht="14">
      <c r="A710" s="25"/>
      <c r="C710" s="24"/>
    </row>
    <row r="711" spans="1:3" ht="14">
      <c r="A711" s="25"/>
      <c r="C711" s="24"/>
    </row>
    <row r="712" spans="1:3" ht="14">
      <c r="A712" s="25"/>
      <c r="C712" s="24"/>
    </row>
    <row r="713" spans="1:3" ht="14">
      <c r="A713" s="25"/>
      <c r="C713" s="24"/>
    </row>
    <row r="714" spans="1:3" ht="14">
      <c r="A714" s="25"/>
      <c r="C714" s="24"/>
    </row>
    <row r="715" spans="1:3" ht="14">
      <c r="A715" s="25"/>
      <c r="C715" s="24"/>
    </row>
    <row r="716" spans="1:3" ht="14">
      <c r="A716" s="25"/>
      <c r="C716" s="24"/>
    </row>
    <row r="717" spans="1:3" ht="14">
      <c r="A717" s="25"/>
      <c r="C717" s="24"/>
    </row>
    <row r="718" spans="1:3" ht="14">
      <c r="A718" s="25"/>
      <c r="C718" s="24"/>
    </row>
    <row r="719" spans="1:3" ht="14">
      <c r="A719" s="25"/>
      <c r="C719" s="24"/>
    </row>
    <row r="720" spans="1:3" ht="14">
      <c r="A720" s="25"/>
      <c r="C720" s="24"/>
    </row>
    <row r="721" spans="1:3" ht="14">
      <c r="A721" s="25"/>
      <c r="C721" s="24"/>
    </row>
    <row r="722" spans="1:3" ht="14">
      <c r="A722" s="25"/>
      <c r="C722" s="24"/>
    </row>
    <row r="723" spans="1:3" ht="14">
      <c r="A723" s="25"/>
      <c r="C723" s="24"/>
    </row>
    <row r="724" spans="1:3" ht="14">
      <c r="A724" s="25"/>
      <c r="C724" s="24"/>
    </row>
    <row r="725" spans="1:3" ht="14">
      <c r="A725" s="25"/>
      <c r="C725" s="24"/>
    </row>
    <row r="726" spans="1:3" ht="14">
      <c r="A726" s="25"/>
      <c r="C726" s="24"/>
    </row>
    <row r="727" spans="1:3" ht="14">
      <c r="A727" s="25"/>
      <c r="C727" s="24"/>
    </row>
    <row r="728" spans="1:3" ht="14">
      <c r="A728" s="25"/>
      <c r="C728" s="24"/>
    </row>
    <row r="729" spans="1:3" ht="14">
      <c r="A729" s="25"/>
      <c r="C729" s="24"/>
    </row>
    <row r="730" spans="1:3" ht="14">
      <c r="A730" s="25"/>
      <c r="C730" s="24"/>
    </row>
    <row r="731" spans="1:3" ht="14">
      <c r="A731" s="25"/>
      <c r="C731" s="24"/>
    </row>
    <row r="732" spans="1:3" ht="14">
      <c r="A732" s="25"/>
      <c r="C732" s="24"/>
    </row>
    <row r="733" spans="1:3" ht="14">
      <c r="A733" s="25"/>
      <c r="C733" s="24"/>
    </row>
    <row r="734" spans="1:3" ht="14">
      <c r="A734" s="25"/>
      <c r="C734" s="24"/>
    </row>
    <row r="735" spans="1:3" ht="14">
      <c r="A735" s="25"/>
      <c r="C735" s="24"/>
    </row>
    <row r="736" spans="1:3" ht="14">
      <c r="A736" s="25"/>
      <c r="C736" s="24"/>
    </row>
    <row r="737" spans="1:3" ht="14">
      <c r="A737" s="25"/>
      <c r="C737" s="24"/>
    </row>
    <row r="738" spans="1:3" ht="14">
      <c r="A738" s="25"/>
      <c r="C738" s="24"/>
    </row>
    <row r="739" spans="1:3" ht="14">
      <c r="A739" s="25"/>
      <c r="C739" s="24"/>
    </row>
    <row r="740" spans="1:3" ht="14">
      <c r="A740" s="25"/>
      <c r="C740" s="24"/>
    </row>
    <row r="741" spans="1:3" ht="14">
      <c r="A741" s="25"/>
      <c r="C741" s="24"/>
    </row>
    <row r="742" spans="1:3" ht="14">
      <c r="A742" s="25"/>
      <c r="C742" s="24"/>
    </row>
    <row r="743" spans="1:3" ht="14">
      <c r="A743" s="25"/>
      <c r="C743" s="24"/>
    </row>
    <row r="744" spans="1:3" ht="14">
      <c r="A744" s="25"/>
      <c r="C744" s="24"/>
    </row>
    <row r="745" spans="1:3" ht="14">
      <c r="A745" s="25"/>
      <c r="C745" s="24"/>
    </row>
    <row r="746" spans="1:3" ht="14">
      <c r="A746" s="25"/>
      <c r="C746" s="24"/>
    </row>
    <row r="747" spans="1:3" ht="14">
      <c r="A747" s="25"/>
      <c r="C747" s="24"/>
    </row>
    <row r="748" spans="1:3" ht="14">
      <c r="A748" s="25"/>
      <c r="C748" s="24"/>
    </row>
    <row r="749" spans="1:3" ht="14">
      <c r="A749" s="25"/>
      <c r="C749" s="24"/>
    </row>
    <row r="750" spans="1:3" ht="14">
      <c r="A750" s="25"/>
      <c r="C750" s="24"/>
    </row>
    <row r="751" spans="1:3" ht="14">
      <c r="A751" s="25"/>
      <c r="C751" s="24"/>
    </row>
    <row r="752" spans="1:3" ht="14">
      <c r="A752" s="25"/>
      <c r="C752" s="24"/>
    </row>
    <row r="753" spans="1:3" ht="14">
      <c r="A753" s="25"/>
      <c r="C753" s="24"/>
    </row>
    <row r="754" spans="1:3" ht="14">
      <c r="A754" s="25"/>
      <c r="C754" s="24"/>
    </row>
    <row r="755" spans="1:3" ht="14">
      <c r="A755" s="25"/>
      <c r="C755" s="24"/>
    </row>
    <row r="756" spans="1:3" ht="14">
      <c r="A756" s="25"/>
      <c r="C756" s="24"/>
    </row>
    <row r="757" spans="1:3" ht="14">
      <c r="A757" s="25"/>
      <c r="C757" s="24"/>
    </row>
    <row r="758" spans="1:3" ht="14">
      <c r="A758" s="25"/>
      <c r="C758" s="24"/>
    </row>
    <row r="759" spans="1:3" ht="14">
      <c r="A759" s="25"/>
      <c r="C759" s="24"/>
    </row>
    <row r="760" spans="1:3" ht="14">
      <c r="A760" s="25"/>
      <c r="C760" s="24"/>
    </row>
    <row r="761" spans="1:3" ht="14">
      <c r="A761" s="25"/>
      <c r="C761" s="24"/>
    </row>
    <row r="762" spans="1:3" ht="14">
      <c r="A762" s="25"/>
      <c r="C762" s="24"/>
    </row>
    <row r="763" spans="1:3" ht="14">
      <c r="A763" s="25"/>
      <c r="C763" s="24"/>
    </row>
    <row r="764" spans="1:3" ht="14">
      <c r="A764" s="25"/>
      <c r="C764" s="24"/>
    </row>
    <row r="765" spans="1:3" ht="14">
      <c r="A765" s="25"/>
      <c r="C765" s="24"/>
    </row>
    <row r="766" spans="1:3" ht="14">
      <c r="A766" s="25"/>
      <c r="C766" s="24"/>
    </row>
    <row r="767" spans="1:3" ht="14">
      <c r="A767" s="25"/>
      <c r="C767" s="24"/>
    </row>
    <row r="768" spans="1:3" ht="14">
      <c r="A768" s="25"/>
      <c r="C768" s="24"/>
    </row>
    <row r="769" spans="1:3" ht="14">
      <c r="A769" s="25"/>
      <c r="C769" s="24"/>
    </row>
    <row r="770" spans="1:3" ht="14">
      <c r="A770" s="25"/>
      <c r="C770" s="24"/>
    </row>
    <row r="771" spans="1:3" ht="14">
      <c r="A771" s="25"/>
      <c r="C771" s="24"/>
    </row>
    <row r="772" spans="1:3" ht="14">
      <c r="A772" s="25"/>
      <c r="C772" s="24"/>
    </row>
    <row r="773" spans="1:3" ht="14">
      <c r="A773" s="25"/>
      <c r="C773" s="24"/>
    </row>
    <row r="774" spans="1:3" ht="14">
      <c r="A774" s="25"/>
      <c r="C774" s="24"/>
    </row>
    <row r="775" spans="1:3" ht="14">
      <c r="A775" s="25"/>
      <c r="C775" s="24"/>
    </row>
    <row r="776" spans="1:3" ht="14">
      <c r="A776" s="25"/>
      <c r="C776" s="24"/>
    </row>
    <row r="777" spans="1:3" ht="14">
      <c r="A777" s="25"/>
      <c r="C777" s="24"/>
    </row>
    <row r="778" spans="1:3" ht="14">
      <c r="A778" s="25"/>
      <c r="C778" s="24"/>
    </row>
    <row r="779" spans="1:3" ht="14">
      <c r="A779" s="25"/>
      <c r="C779" s="24"/>
    </row>
    <row r="780" spans="1:3" ht="14">
      <c r="A780" s="25"/>
      <c r="C780" s="24"/>
    </row>
    <row r="781" spans="1:3" ht="14">
      <c r="A781" s="25"/>
      <c r="C781" s="24"/>
    </row>
    <row r="782" spans="1:3" ht="14">
      <c r="A782" s="25"/>
      <c r="C782" s="24"/>
    </row>
    <row r="783" spans="1:3" ht="14">
      <c r="A783" s="25"/>
      <c r="C783" s="24"/>
    </row>
    <row r="784" spans="1:3" ht="14">
      <c r="A784" s="25"/>
      <c r="C784" s="24"/>
    </row>
    <row r="785" spans="1:3" ht="14">
      <c r="A785" s="25"/>
      <c r="C785" s="24"/>
    </row>
    <row r="786" spans="1:3" ht="14">
      <c r="A786" s="25"/>
      <c r="C786" s="24"/>
    </row>
    <row r="787" spans="1:3" ht="14">
      <c r="A787" s="25"/>
      <c r="C787" s="24"/>
    </row>
    <row r="788" spans="1:3" ht="14">
      <c r="A788" s="25"/>
      <c r="C788" s="24"/>
    </row>
    <row r="789" spans="1:3" ht="14">
      <c r="A789" s="25"/>
      <c r="C789" s="24"/>
    </row>
    <row r="790" spans="1:3" ht="14">
      <c r="A790" s="25"/>
      <c r="C790" s="24"/>
    </row>
    <row r="791" spans="1:3" ht="14">
      <c r="A791" s="25"/>
      <c r="C791" s="24"/>
    </row>
    <row r="792" spans="1:3" ht="14">
      <c r="A792" s="25"/>
      <c r="C792" s="24"/>
    </row>
    <row r="793" spans="1:3" ht="14">
      <c r="A793" s="25"/>
      <c r="C793" s="24"/>
    </row>
    <row r="794" spans="1:3" ht="14">
      <c r="A794" s="25"/>
      <c r="C794" s="24"/>
    </row>
    <row r="795" spans="1:3" ht="14">
      <c r="A795" s="25"/>
      <c r="C795" s="24"/>
    </row>
    <row r="796" spans="1:3" ht="14">
      <c r="A796" s="25"/>
      <c r="C796" s="24"/>
    </row>
    <row r="797" spans="1:3" ht="14">
      <c r="A797" s="25"/>
      <c r="C797" s="24"/>
    </row>
    <row r="798" spans="1:3" ht="14">
      <c r="A798" s="25"/>
      <c r="C798" s="24"/>
    </row>
    <row r="799" spans="1:3" ht="14">
      <c r="A799" s="25"/>
      <c r="C799" s="24"/>
    </row>
    <row r="800" spans="1:3" ht="14">
      <c r="A800" s="25"/>
      <c r="C800" s="24"/>
    </row>
    <row r="801" spans="1:3" ht="14">
      <c r="A801" s="25"/>
      <c r="C801" s="24"/>
    </row>
    <row r="802" spans="1:3" ht="14">
      <c r="A802" s="25"/>
      <c r="C802" s="24"/>
    </row>
    <row r="803" spans="1:3" ht="14">
      <c r="A803" s="25"/>
      <c r="C803" s="24"/>
    </row>
    <row r="804" spans="1:3" ht="14">
      <c r="A804" s="25"/>
      <c r="C804" s="24"/>
    </row>
    <row r="805" spans="1:3" ht="14">
      <c r="A805" s="25"/>
      <c r="C805" s="24"/>
    </row>
    <row r="806" spans="1:3" ht="14">
      <c r="A806" s="25"/>
      <c r="C806" s="24"/>
    </row>
    <row r="807" spans="1:3" ht="14">
      <c r="A807" s="25"/>
      <c r="C807" s="24"/>
    </row>
    <row r="808" spans="1:3" ht="14">
      <c r="A808" s="25"/>
      <c r="C808" s="24"/>
    </row>
    <row r="809" spans="1:3" ht="14">
      <c r="A809" s="25"/>
      <c r="C809" s="24"/>
    </row>
    <row r="810" spans="1:3" ht="14">
      <c r="A810" s="25"/>
      <c r="C810" s="24"/>
    </row>
    <row r="811" spans="1:3" ht="14">
      <c r="A811" s="25"/>
      <c r="C811" s="24"/>
    </row>
    <row r="812" spans="1:3" ht="14">
      <c r="A812" s="25"/>
      <c r="C812" s="24"/>
    </row>
    <row r="813" spans="1:3" ht="14">
      <c r="A813" s="25"/>
      <c r="C813" s="24"/>
    </row>
    <row r="814" spans="1:3" ht="14">
      <c r="A814" s="25"/>
      <c r="C814" s="24"/>
    </row>
    <row r="815" spans="1:3" ht="14">
      <c r="A815" s="25"/>
      <c r="C815" s="24"/>
    </row>
    <row r="816" spans="1:3" ht="14">
      <c r="A816" s="25"/>
      <c r="C816" s="24"/>
    </row>
    <row r="817" spans="1:3" ht="14">
      <c r="A817" s="25"/>
      <c r="C817" s="24"/>
    </row>
    <row r="818" spans="1:3" ht="14">
      <c r="A818" s="25"/>
      <c r="C818" s="24"/>
    </row>
    <row r="819" spans="1:3" ht="14">
      <c r="A819" s="25"/>
      <c r="C819" s="24"/>
    </row>
    <row r="820" spans="1:3" ht="14">
      <c r="A820" s="25"/>
      <c r="C820" s="24"/>
    </row>
    <row r="821" spans="1:3" ht="14">
      <c r="A821" s="25"/>
      <c r="C821" s="24"/>
    </row>
    <row r="822" spans="1:3" ht="14">
      <c r="A822" s="25"/>
      <c r="C822" s="24"/>
    </row>
    <row r="823" spans="1:3" ht="14">
      <c r="A823" s="25"/>
      <c r="C823" s="24"/>
    </row>
    <row r="824" spans="1:3" ht="14">
      <c r="A824" s="25"/>
      <c r="C824" s="24"/>
    </row>
    <row r="825" spans="1:3" ht="14">
      <c r="A825" s="25"/>
      <c r="C825" s="24"/>
    </row>
    <row r="826" spans="1:3" ht="14">
      <c r="A826" s="25"/>
      <c r="C826" s="24"/>
    </row>
    <row r="827" spans="1:3" ht="14">
      <c r="A827" s="25"/>
      <c r="C827" s="24"/>
    </row>
    <row r="828" spans="1:3" ht="14">
      <c r="A828" s="25"/>
      <c r="C828" s="24"/>
    </row>
    <row r="829" spans="1:3" ht="14">
      <c r="A829" s="25"/>
      <c r="C829" s="24"/>
    </row>
    <row r="830" spans="1:3" ht="14">
      <c r="A830" s="25"/>
      <c r="C830" s="24"/>
    </row>
    <row r="831" spans="1:3" ht="14">
      <c r="A831" s="25"/>
      <c r="C831" s="24"/>
    </row>
    <row r="832" spans="1:3" ht="14">
      <c r="A832" s="25"/>
      <c r="C832" s="24"/>
    </row>
    <row r="833" spans="1:3" ht="14">
      <c r="A833" s="25"/>
      <c r="C833" s="24"/>
    </row>
    <row r="834" spans="1:3" ht="14">
      <c r="A834" s="25"/>
      <c r="C834" s="24"/>
    </row>
    <row r="835" spans="1:3" ht="14">
      <c r="A835" s="25"/>
      <c r="C835" s="24"/>
    </row>
    <row r="836" spans="1:3" ht="14">
      <c r="A836" s="25"/>
      <c r="C836" s="24"/>
    </row>
    <row r="837" spans="1:3" ht="14">
      <c r="A837" s="25"/>
      <c r="C837" s="24"/>
    </row>
    <row r="838" spans="1:3" ht="14">
      <c r="A838" s="25"/>
      <c r="C838" s="24"/>
    </row>
    <row r="839" spans="1:3" ht="14">
      <c r="A839" s="25"/>
      <c r="C839" s="24"/>
    </row>
    <row r="840" spans="1:3" ht="14">
      <c r="A840" s="25"/>
      <c r="C840" s="24"/>
    </row>
    <row r="841" spans="1:3" ht="14">
      <c r="A841" s="25"/>
      <c r="C841" s="24"/>
    </row>
    <row r="842" spans="1:3" ht="14">
      <c r="A842" s="25"/>
      <c r="C842" s="24"/>
    </row>
    <row r="843" spans="1:3" ht="14">
      <c r="A843" s="25"/>
      <c r="C843" s="24"/>
    </row>
    <row r="844" spans="1:3" ht="14">
      <c r="A844" s="25"/>
      <c r="C844" s="24"/>
    </row>
    <row r="845" spans="1:3" ht="14">
      <c r="A845" s="25"/>
      <c r="C845" s="24"/>
    </row>
    <row r="846" spans="1:3" ht="14">
      <c r="A846" s="25"/>
      <c r="C846" s="24"/>
    </row>
    <row r="847" spans="1:3" ht="14">
      <c r="A847" s="25"/>
      <c r="C847" s="24"/>
    </row>
    <row r="848" spans="1:3" ht="14">
      <c r="A848" s="25"/>
      <c r="C848" s="24"/>
    </row>
    <row r="849" spans="1:3" ht="14">
      <c r="A849" s="25"/>
      <c r="C849" s="24"/>
    </row>
    <row r="850" spans="1:3" ht="14">
      <c r="A850" s="25"/>
      <c r="C850" s="24"/>
    </row>
    <row r="851" spans="1:3" ht="14">
      <c r="A851" s="25"/>
      <c r="C851" s="24"/>
    </row>
    <row r="852" spans="1:3" ht="14">
      <c r="A852" s="25"/>
      <c r="C852" s="24"/>
    </row>
    <row r="853" spans="1:3" ht="14">
      <c r="A853" s="25"/>
      <c r="C853" s="24"/>
    </row>
    <row r="854" spans="1:3" ht="14">
      <c r="A854" s="25"/>
      <c r="C854" s="24"/>
    </row>
    <row r="855" spans="1:3" ht="14">
      <c r="A855" s="25"/>
      <c r="C855" s="24"/>
    </row>
    <row r="856" spans="1:3" ht="14">
      <c r="A856" s="25"/>
      <c r="C856" s="24"/>
    </row>
    <row r="857" spans="1:3" ht="14">
      <c r="A857" s="25"/>
      <c r="C857" s="24"/>
    </row>
    <row r="858" spans="1:3" ht="14">
      <c r="A858" s="25"/>
      <c r="C858" s="24"/>
    </row>
    <row r="859" spans="1:3" ht="14">
      <c r="A859" s="25"/>
      <c r="C859" s="24"/>
    </row>
    <row r="860" spans="1:3" ht="14">
      <c r="A860" s="25"/>
      <c r="C860" s="24"/>
    </row>
    <row r="861" spans="1:3" ht="14">
      <c r="A861" s="25"/>
      <c r="C861" s="24"/>
    </row>
    <row r="862" spans="1:3" ht="14">
      <c r="A862" s="25"/>
      <c r="C862" s="24"/>
    </row>
    <row r="863" spans="1:3" ht="14">
      <c r="A863" s="25"/>
      <c r="C863" s="24"/>
    </row>
    <row r="864" spans="1:3" ht="14">
      <c r="A864" s="25"/>
      <c r="C864" s="24"/>
    </row>
    <row r="865" spans="1:3" ht="14">
      <c r="A865" s="25"/>
      <c r="C865" s="24"/>
    </row>
    <row r="866" spans="1:3" ht="14">
      <c r="A866" s="25"/>
      <c r="C866" s="24"/>
    </row>
    <row r="867" spans="1:3" ht="14">
      <c r="A867" s="25"/>
      <c r="C867" s="24"/>
    </row>
    <row r="868" spans="1:3" ht="14">
      <c r="A868" s="25"/>
      <c r="C868" s="24"/>
    </row>
    <row r="869" spans="1:3" ht="14">
      <c r="A869" s="25"/>
      <c r="C869" s="24"/>
    </row>
    <row r="870" spans="1:3" ht="14">
      <c r="A870" s="25"/>
      <c r="C870" s="24"/>
    </row>
    <row r="871" spans="1:3" ht="14">
      <c r="A871" s="25"/>
      <c r="C871" s="24"/>
    </row>
    <row r="872" spans="1:3" ht="14">
      <c r="A872" s="25"/>
      <c r="C872" s="24"/>
    </row>
    <row r="873" spans="1:3" ht="14">
      <c r="A873" s="25"/>
      <c r="C873" s="24"/>
    </row>
    <row r="874" spans="1:3" ht="14">
      <c r="A874" s="25"/>
      <c r="C874" s="24"/>
    </row>
    <row r="875" spans="1:3" ht="14">
      <c r="A875" s="25"/>
      <c r="C875" s="24"/>
    </row>
    <row r="876" spans="1:3" ht="14">
      <c r="A876" s="25"/>
      <c r="C876" s="24"/>
    </row>
    <row r="877" spans="1:3" ht="14">
      <c r="A877" s="25"/>
      <c r="C877" s="24"/>
    </row>
    <row r="878" spans="1:3" ht="14">
      <c r="A878" s="25"/>
      <c r="C878" s="24"/>
    </row>
    <row r="879" spans="1:3" ht="14">
      <c r="A879" s="25"/>
      <c r="C879" s="24"/>
    </row>
    <row r="880" spans="1:3" ht="14">
      <c r="A880" s="25"/>
      <c r="C880" s="24"/>
    </row>
    <row r="881" spans="1:3" ht="14">
      <c r="A881" s="25"/>
      <c r="C881" s="24"/>
    </row>
    <row r="882" spans="1:3" ht="14">
      <c r="A882" s="25"/>
      <c r="C882" s="24"/>
    </row>
    <row r="883" spans="1:3" ht="14">
      <c r="A883" s="25"/>
      <c r="C883" s="24"/>
    </row>
    <row r="884" spans="1:3" ht="14">
      <c r="A884" s="25"/>
      <c r="C884" s="24"/>
    </row>
    <row r="885" spans="1:3" ht="14">
      <c r="A885" s="25"/>
      <c r="C885" s="24"/>
    </row>
    <row r="886" spans="1:3" ht="14">
      <c r="A886" s="25"/>
      <c r="C886" s="24"/>
    </row>
    <row r="887" spans="1:3" ht="14">
      <c r="A887" s="25"/>
      <c r="C887" s="24"/>
    </row>
    <row r="888" spans="1:3" ht="14">
      <c r="A888" s="25"/>
      <c r="C888" s="24"/>
    </row>
    <row r="889" spans="1:3" ht="14">
      <c r="A889" s="25"/>
      <c r="C889" s="24"/>
    </row>
    <row r="890" spans="1:3" ht="14">
      <c r="A890" s="25"/>
      <c r="C890" s="24"/>
    </row>
    <row r="891" spans="1:3" ht="14">
      <c r="A891" s="25"/>
      <c r="C891" s="24"/>
    </row>
    <row r="892" spans="1:3" ht="14">
      <c r="A892" s="25"/>
      <c r="C892" s="24"/>
    </row>
    <row r="893" spans="1:3" ht="14">
      <c r="A893" s="25"/>
      <c r="C893" s="24"/>
    </row>
    <row r="894" spans="1:3" ht="14">
      <c r="A894" s="25"/>
      <c r="C894" s="24"/>
    </row>
    <row r="895" spans="1:3" ht="14">
      <c r="A895" s="25"/>
      <c r="C895" s="24"/>
    </row>
    <row r="896" spans="1:3" ht="14">
      <c r="A896" s="25"/>
      <c r="C896" s="24"/>
    </row>
    <row r="897" spans="1:3" ht="14">
      <c r="A897" s="25"/>
      <c r="C897" s="24"/>
    </row>
    <row r="898" spans="1:3" ht="14">
      <c r="A898" s="25"/>
      <c r="C898" s="24"/>
    </row>
    <row r="899" spans="1:3" ht="14">
      <c r="A899" s="25"/>
      <c r="C899" s="24"/>
    </row>
    <row r="900" spans="1:3" ht="14">
      <c r="A900" s="25"/>
      <c r="C900" s="24"/>
    </row>
    <row r="901" spans="1:3" ht="14">
      <c r="A901" s="25"/>
      <c r="C901" s="24"/>
    </row>
    <row r="902" spans="1:3" ht="14">
      <c r="A902" s="25"/>
      <c r="C902" s="24"/>
    </row>
    <row r="903" spans="1:3" ht="14">
      <c r="A903" s="25"/>
      <c r="C903" s="24"/>
    </row>
    <row r="904" spans="1:3" ht="14">
      <c r="A904" s="25"/>
      <c r="C904" s="24"/>
    </row>
    <row r="905" spans="1:3" ht="14">
      <c r="A905" s="25"/>
      <c r="C905" s="24"/>
    </row>
    <row r="906" spans="1:3" ht="14">
      <c r="A906" s="25"/>
      <c r="C906" s="24"/>
    </row>
    <row r="907" spans="1:3" ht="14">
      <c r="A907" s="25"/>
      <c r="C907" s="24"/>
    </row>
    <row r="908" spans="1:3" ht="14">
      <c r="A908" s="25"/>
      <c r="C908" s="24"/>
    </row>
    <row r="909" spans="1:3" ht="14">
      <c r="A909" s="25"/>
      <c r="C909" s="24"/>
    </row>
    <row r="910" spans="1:3" ht="14">
      <c r="A910" s="25"/>
      <c r="C910" s="24"/>
    </row>
    <row r="911" spans="1:3" ht="14">
      <c r="A911" s="25"/>
      <c r="C911" s="24"/>
    </row>
    <row r="912" spans="1:3" ht="14">
      <c r="A912" s="25"/>
      <c r="C912" s="24"/>
    </row>
    <row r="913" spans="1:3" ht="14">
      <c r="A913" s="25"/>
      <c r="C913" s="24"/>
    </row>
    <row r="914" spans="1:3" ht="14">
      <c r="A914" s="25"/>
      <c r="C914" s="24"/>
    </row>
    <row r="915" spans="1:3" ht="14">
      <c r="A915" s="25"/>
      <c r="C915" s="24"/>
    </row>
    <row r="916" spans="1:3" ht="14">
      <c r="A916" s="25"/>
      <c r="C916" s="24"/>
    </row>
    <row r="917" spans="1:3" ht="14">
      <c r="A917" s="25"/>
      <c r="C917" s="24"/>
    </row>
    <row r="918" spans="1:3" ht="14">
      <c r="A918" s="25"/>
      <c r="C918" s="24"/>
    </row>
    <row r="919" spans="1:3" ht="14">
      <c r="A919" s="25"/>
      <c r="C919" s="24"/>
    </row>
    <row r="920" spans="1:3" ht="14">
      <c r="A920" s="25"/>
      <c r="C920" s="24"/>
    </row>
    <row r="921" spans="1:3" ht="14">
      <c r="A921" s="25"/>
      <c r="C921" s="24"/>
    </row>
    <row r="922" spans="1:3" ht="14">
      <c r="A922" s="25"/>
      <c r="C922" s="24"/>
    </row>
    <row r="923" spans="1:3" ht="14">
      <c r="A923" s="25"/>
      <c r="C923" s="24"/>
    </row>
    <row r="924" spans="1:3" ht="14">
      <c r="A924" s="25"/>
      <c r="C924" s="24"/>
    </row>
    <row r="925" spans="1:3" ht="14">
      <c r="A925" s="25"/>
      <c r="C925" s="24"/>
    </row>
    <row r="926" spans="1:3" ht="14">
      <c r="A926" s="25"/>
      <c r="C926" s="24"/>
    </row>
    <row r="927" spans="1:3" ht="14">
      <c r="A927" s="25"/>
      <c r="C927" s="24"/>
    </row>
    <row r="928" spans="1:3" ht="14">
      <c r="A928" s="25"/>
      <c r="C928" s="24"/>
    </row>
    <row r="929" spans="1:3" ht="14">
      <c r="A929" s="25"/>
      <c r="C929" s="24"/>
    </row>
    <row r="930" spans="1:3" ht="14">
      <c r="A930" s="25"/>
      <c r="C930" s="24"/>
    </row>
    <row r="931" spans="1:3" ht="14">
      <c r="A931" s="25"/>
      <c r="C931" s="24"/>
    </row>
    <row r="932" spans="1:3" ht="14">
      <c r="A932" s="25"/>
      <c r="C932" s="24"/>
    </row>
    <row r="933" spans="1:3" ht="14">
      <c r="A933" s="25"/>
      <c r="C933" s="24"/>
    </row>
    <row r="934" spans="1:3" ht="14">
      <c r="A934" s="25"/>
      <c r="C934" s="24"/>
    </row>
    <row r="935" spans="1:3" ht="14">
      <c r="A935" s="25"/>
      <c r="C935" s="24"/>
    </row>
    <row r="936" spans="1:3" ht="14">
      <c r="A936" s="25"/>
      <c r="C936" s="24"/>
    </row>
    <row r="937" spans="1:3" ht="14">
      <c r="A937" s="25"/>
      <c r="C937" s="24"/>
    </row>
    <row r="938" spans="1:3" ht="14">
      <c r="A938" s="25"/>
      <c r="C938" s="24"/>
    </row>
    <row r="939" spans="1:3" ht="14">
      <c r="A939" s="25"/>
      <c r="C939" s="24"/>
    </row>
    <row r="940" spans="1:3" ht="14">
      <c r="A940" s="25"/>
      <c r="C940" s="24"/>
    </row>
    <row r="941" spans="1:3" ht="14">
      <c r="A941" s="25"/>
      <c r="C941" s="24"/>
    </row>
    <row r="942" spans="1:3" ht="14">
      <c r="A942" s="25"/>
      <c r="C942" s="24"/>
    </row>
    <row r="943" spans="1:3" ht="14">
      <c r="A943" s="25"/>
      <c r="C943" s="24"/>
    </row>
    <row r="944" spans="1:3" ht="14">
      <c r="A944" s="25"/>
      <c r="C944" s="24"/>
    </row>
    <row r="945" spans="1:3" ht="14">
      <c r="A945" s="25"/>
      <c r="C945" s="24"/>
    </row>
    <row r="946" spans="1:3" ht="14">
      <c r="A946" s="25"/>
      <c r="C946" s="24"/>
    </row>
    <row r="947" spans="1:3" ht="14">
      <c r="A947" s="25"/>
      <c r="C947" s="24"/>
    </row>
    <row r="948" spans="1:3" ht="14">
      <c r="A948" s="25"/>
      <c r="C948" s="24"/>
    </row>
    <row r="949" spans="1:3" ht="14">
      <c r="A949" s="25"/>
      <c r="C949" s="24"/>
    </row>
    <row r="950" spans="1:3" ht="14">
      <c r="A950" s="25"/>
      <c r="C950" s="24"/>
    </row>
    <row r="951" spans="1:3" ht="14">
      <c r="A951" s="25"/>
      <c r="C951" s="24"/>
    </row>
    <row r="952" spans="1:3" ht="14">
      <c r="A952" s="25"/>
      <c r="C952" s="24"/>
    </row>
    <row r="953" spans="1:3" ht="14">
      <c r="A953" s="25"/>
      <c r="C953" s="24"/>
    </row>
    <row r="954" spans="1:3" ht="14">
      <c r="A954" s="25"/>
      <c r="C954" s="24"/>
    </row>
    <row r="955" spans="1:3" ht="14">
      <c r="A955" s="25"/>
      <c r="C955" s="24"/>
    </row>
    <row r="956" spans="1:3" ht="14">
      <c r="A956" s="25"/>
      <c r="C956" s="24"/>
    </row>
    <row r="957" spans="1:3" ht="14">
      <c r="A957" s="25"/>
      <c r="C957" s="24"/>
    </row>
    <row r="958" spans="1:3" ht="14">
      <c r="A958" s="25"/>
      <c r="C958" s="24"/>
    </row>
    <row r="959" spans="1:3" ht="14">
      <c r="A959" s="25"/>
      <c r="C959" s="24"/>
    </row>
    <row r="960" spans="1:3" ht="14">
      <c r="A960" s="25"/>
      <c r="C960" s="24"/>
    </row>
    <row r="961" spans="1:3" ht="14">
      <c r="A961" s="25"/>
      <c r="C961" s="24"/>
    </row>
    <row r="962" spans="1:3" ht="14">
      <c r="A962" s="25"/>
      <c r="C962" s="24"/>
    </row>
    <row r="963" spans="1:3" ht="14">
      <c r="A963" s="25"/>
      <c r="C963" s="24"/>
    </row>
    <row r="964" spans="1:3" ht="14">
      <c r="A964" s="25"/>
      <c r="C964" s="24"/>
    </row>
    <row r="965" spans="1:3" ht="14">
      <c r="A965" s="25"/>
      <c r="C965" s="24"/>
    </row>
    <row r="966" spans="1:3" ht="14">
      <c r="A966" s="25"/>
      <c r="C966" s="24"/>
    </row>
    <row r="967" spans="1:3" ht="14">
      <c r="A967" s="25"/>
      <c r="C967" s="24"/>
    </row>
    <row r="968" spans="1:3" ht="14">
      <c r="A968" s="25"/>
      <c r="C968" s="24"/>
    </row>
    <row r="969" spans="1:3" ht="14">
      <c r="A969" s="25"/>
      <c r="C969" s="24"/>
    </row>
    <row r="970" spans="1:3" ht="14">
      <c r="A970" s="25"/>
      <c r="C970" s="24"/>
    </row>
    <row r="971" spans="1:3" ht="14">
      <c r="A971" s="25"/>
      <c r="C971" s="24"/>
    </row>
    <row r="972" spans="1:3" ht="14">
      <c r="A972" s="25"/>
      <c r="C972" s="24"/>
    </row>
    <row r="973" spans="1:3" ht="14">
      <c r="A973" s="25"/>
      <c r="C973" s="24"/>
    </row>
    <row r="974" spans="1:3" ht="14">
      <c r="A974" s="25"/>
      <c r="C974" s="24"/>
    </row>
    <row r="975" spans="1:3" ht="14">
      <c r="A975" s="25"/>
      <c r="C975" s="24"/>
    </row>
    <row r="976" spans="1:3" ht="14">
      <c r="A976" s="25"/>
      <c r="C976" s="24"/>
    </row>
    <row r="977" spans="1:3" ht="14">
      <c r="A977" s="25"/>
      <c r="C977" s="24"/>
    </row>
    <row r="978" spans="1:3" ht="14">
      <c r="A978" s="25"/>
      <c r="C978" s="24"/>
    </row>
    <row r="979" spans="1:3" ht="14">
      <c r="A979" s="25"/>
      <c r="C979" s="24"/>
    </row>
    <row r="980" spans="1:3" ht="14">
      <c r="A980" s="25"/>
      <c r="C980" s="24"/>
    </row>
    <row r="981" spans="1:3" ht="14">
      <c r="A981" s="25"/>
      <c r="C981" s="24"/>
    </row>
    <row r="982" spans="1:3" ht="14">
      <c r="A982" s="25"/>
      <c r="C982" s="24"/>
    </row>
    <row r="983" spans="1:3" ht="14">
      <c r="A983" s="25"/>
      <c r="C983" s="24"/>
    </row>
    <row r="984" spans="1:3" ht="14">
      <c r="A984" s="25"/>
      <c r="C984" s="24"/>
    </row>
    <row r="985" spans="1:3" ht="14">
      <c r="A985" s="25"/>
      <c r="C985" s="24"/>
    </row>
    <row r="986" spans="1:3" ht="14">
      <c r="A986" s="25"/>
      <c r="C986" s="24"/>
    </row>
    <row r="987" spans="1:3" ht="14">
      <c r="A987" s="25"/>
      <c r="C987" s="24"/>
    </row>
    <row r="988" spans="1:3" ht="14">
      <c r="A988" s="25"/>
      <c r="C988" s="24"/>
    </row>
    <row r="989" spans="1:3" ht="14">
      <c r="A989" s="25"/>
      <c r="C989" s="24"/>
    </row>
    <row r="990" spans="1:3" ht="14">
      <c r="A990" s="25"/>
      <c r="C990" s="24"/>
    </row>
    <row r="991" spans="1:3" ht="14">
      <c r="A991" s="25"/>
      <c r="C991" s="24"/>
    </row>
    <row r="992" spans="1:3" ht="14">
      <c r="A992" s="25"/>
      <c r="C992" s="24"/>
    </row>
    <row r="993" spans="1:3" ht="14">
      <c r="A993" s="25"/>
      <c r="C993" s="24"/>
    </row>
    <row r="994" spans="1:3" ht="14">
      <c r="A994" s="25"/>
      <c r="C994" s="24"/>
    </row>
    <row r="995" spans="1:3" ht="14">
      <c r="A995" s="25"/>
      <c r="C995" s="24"/>
    </row>
    <row r="996" spans="1:3" ht="14">
      <c r="A996" s="25"/>
      <c r="C996" s="24"/>
    </row>
    <row r="997" spans="1:3" ht="14">
      <c r="A997" s="25"/>
      <c r="C997" s="24"/>
    </row>
    <row r="998" spans="1:3" ht="14">
      <c r="A998" s="25"/>
      <c r="C998" s="24"/>
    </row>
    <row r="999" spans="1:3" ht="14">
      <c r="A999" s="25"/>
      <c r="C999" s="24"/>
    </row>
    <row r="1000" spans="1:3" ht="14">
      <c r="A1000" s="25"/>
      <c r="C1000" s="24"/>
    </row>
    <row r="1001" spans="1:3" ht="14">
      <c r="A1001" s="25"/>
      <c r="C1001" s="24"/>
    </row>
    <row r="1002" spans="1:3" ht="14">
      <c r="A1002" s="25"/>
      <c r="C1002" s="24"/>
    </row>
    <row r="1003" spans="1:3" ht="14">
      <c r="A1003" s="25"/>
      <c r="C1003" s="24"/>
    </row>
    <row r="1004" spans="1:3" ht="14">
      <c r="A1004" s="25"/>
      <c r="C1004" s="24"/>
    </row>
    <row r="1005" spans="1:3" ht="14">
      <c r="A1005" s="25"/>
      <c r="C1005" s="24"/>
    </row>
    <row r="1006" spans="1:3" ht="14">
      <c r="A1006" s="25"/>
      <c r="C1006" s="24"/>
    </row>
    <row r="1007" spans="1:3" ht="14">
      <c r="A1007" s="25"/>
      <c r="C1007" s="24"/>
    </row>
    <row r="1008" spans="1:3" ht="14">
      <c r="A1008" s="25"/>
      <c r="C1008" s="24"/>
    </row>
    <row r="1009" spans="1:3" ht="14">
      <c r="A1009" s="25"/>
      <c r="C1009" s="24"/>
    </row>
    <row r="1010" spans="1:3" ht="14">
      <c r="A1010" s="25"/>
      <c r="C1010" s="24"/>
    </row>
    <row r="1011" spans="1:3" ht="14">
      <c r="A1011" s="25"/>
      <c r="C1011" s="24"/>
    </row>
    <row r="1012" spans="1:3" ht="14">
      <c r="A1012" s="25"/>
      <c r="C1012" s="24"/>
    </row>
    <row r="1013" spans="1:3" ht="14">
      <c r="A1013" s="25"/>
      <c r="C1013" s="24"/>
    </row>
    <row r="1014" spans="1:3" ht="14">
      <c r="A1014" s="25"/>
      <c r="C1014" s="24"/>
    </row>
    <row r="1015" spans="1:3" ht="14">
      <c r="A1015" s="25"/>
      <c r="C1015" s="24"/>
    </row>
    <row r="1016" spans="1:3" ht="14">
      <c r="A1016" s="25"/>
      <c r="C1016" s="24"/>
    </row>
    <row r="1017" spans="1:3" ht="14">
      <c r="A1017" s="25"/>
      <c r="C1017" s="24"/>
    </row>
    <row r="1018" spans="1:3" ht="14">
      <c r="A1018" s="25"/>
      <c r="C1018" s="24"/>
    </row>
    <row r="1019" spans="1:3" ht="14">
      <c r="A1019" s="25"/>
      <c r="C1019" s="24"/>
    </row>
    <row r="1020" spans="1:3" ht="14">
      <c r="A1020" s="25"/>
      <c r="C1020" s="24"/>
    </row>
    <row r="1021" spans="1:3" ht="14">
      <c r="A1021" s="25"/>
      <c r="C1021" s="24"/>
    </row>
    <row r="1022" spans="1:3" ht="14">
      <c r="A1022" s="25"/>
      <c r="C1022" s="24"/>
    </row>
    <row r="1023" spans="1:3" ht="14">
      <c r="A1023" s="25"/>
      <c r="C1023" s="24"/>
    </row>
    <row r="1024" spans="1:3" ht="14">
      <c r="A1024" s="25"/>
      <c r="C1024" s="24"/>
    </row>
    <row r="1025" spans="1:3" ht="14">
      <c r="A1025" s="25"/>
      <c r="C1025" s="24"/>
    </row>
    <row r="1026" spans="1:3" ht="14">
      <c r="A1026" s="25"/>
      <c r="C1026" s="24"/>
    </row>
    <row r="1027" spans="1:3" ht="14">
      <c r="A1027" s="25"/>
      <c r="C1027" s="24"/>
    </row>
    <row r="1028" spans="1:3" ht="14">
      <c r="A1028" s="25"/>
      <c r="C1028" s="24"/>
    </row>
    <row r="1029" spans="1:3" ht="14">
      <c r="A1029" s="25"/>
      <c r="C1029" s="24"/>
    </row>
    <row r="1030" spans="1:3" ht="14">
      <c r="A1030" s="25"/>
      <c r="C1030" s="24"/>
    </row>
    <row r="1031" spans="1:3" ht="14">
      <c r="A1031" s="25"/>
      <c r="C1031" s="24"/>
    </row>
    <row r="1032" spans="1:3" ht="14">
      <c r="A1032" s="25"/>
      <c r="C1032" s="24"/>
    </row>
    <row r="1033" spans="1:3" ht="14">
      <c r="A1033" s="25"/>
      <c r="C1033" s="24"/>
    </row>
    <row r="1034" spans="1:3" ht="14">
      <c r="A1034" s="25"/>
      <c r="C1034" s="24"/>
    </row>
    <row r="1035" spans="1:3" ht="14">
      <c r="A1035" s="25"/>
      <c r="C1035" s="24"/>
    </row>
    <row r="1036" spans="1:3" ht="14">
      <c r="A1036" s="25"/>
      <c r="C1036" s="24"/>
    </row>
    <row r="1037" spans="1:3" ht="14">
      <c r="A1037" s="25"/>
      <c r="C1037" s="24"/>
    </row>
    <row r="1038" spans="1:3" ht="14">
      <c r="A1038" s="25"/>
      <c r="C1038" s="24"/>
    </row>
    <row r="1039" spans="1:3" ht="14">
      <c r="A1039" s="25"/>
      <c r="C1039" s="24"/>
    </row>
    <row r="1040" spans="1:3" ht="14">
      <c r="A1040" s="25"/>
      <c r="C1040" s="24"/>
    </row>
    <row r="1041" spans="1:3" ht="14">
      <c r="A1041" s="25"/>
      <c r="C1041" s="24"/>
    </row>
    <row r="1042" spans="1:3" ht="14">
      <c r="A1042" s="25"/>
      <c r="C1042" s="24"/>
    </row>
    <row r="1043" spans="1:3" ht="14">
      <c r="A1043" s="25"/>
      <c r="C1043" s="24"/>
    </row>
    <row r="1044" spans="1:3" ht="14">
      <c r="A1044" s="25"/>
      <c r="C1044" s="24"/>
    </row>
    <row r="1045" spans="1:3" ht="14">
      <c r="A1045" s="25"/>
      <c r="C1045" s="24"/>
    </row>
    <row r="1046" spans="1:3" ht="14">
      <c r="A1046" s="25"/>
      <c r="C1046" s="24"/>
    </row>
    <row r="1047" spans="1:3" ht="14">
      <c r="A1047" s="25"/>
      <c r="C1047" s="24"/>
    </row>
    <row r="1048" spans="1:3" ht="14">
      <c r="A1048" s="25"/>
      <c r="C1048" s="24"/>
    </row>
    <row r="1049" spans="1:3" ht="14">
      <c r="A1049" s="25"/>
      <c r="C1049" s="24"/>
    </row>
    <row r="1050" spans="1:3" ht="14">
      <c r="A1050" s="25"/>
      <c r="C1050" s="24"/>
    </row>
    <row r="1051" spans="1:3" ht="14">
      <c r="A1051" s="25"/>
      <c r="C1051" s="24"/>
    </row>
    <row r="1052" spans="1:3" ht="14">
      <c r="A1052" s="25"/>
      <c r="C1052" s="24"/>
    </row>
    <row r="1053" spans="1:3" ht="14">
      <c r="A1053" s="25"/>
      <c r="C1053" s="24"/>
    </row>
    <row r="1054" spans="1:3" ht="14">
      <c r="A1054" s="25"/>
      <c r="C1054" s="24"/>
    </row>
    <row r="1055" spans="1:3" ht="14">
      <c r="A1055" s="25"/>
      <c r="C1055" s="24"/>
    </row>
    <row r="1056" spans="1:3" ht="14">
      <c r="A1056" s="25"/>
      <c r="C1056" s="24"/>
    </row>
    <row r="1057" spans="1:3" ht="14">
      <c r="A1057" s="25"/>
      <c r="C1057" s="24"/>
    </row>
    <row r="1058" spans="1:3" ht="14">
      <c r="A1058" s="25"/>
      <c r="C1058" s="24"/>
    </row>
    <row r="1059" spans="1:3" ht="14">
      <c r="A1059" s="25"/>
      <c r="C1059" s="24"/>
    </row>
    <row r="1060" spans="1:3" ht="14">
      <c r="A1060" s="25"/>
      <c r="C1060" s="24"/>
    </row>
    <row r="1061" spans="1:3" ht="14">
      <c r="A1061" s="25"/>
      <c r="C1061" s="24"/>
    </row>
    <row r="1062" spans="1:3" ht="14">
      <c r="A1062" s="25"/>
      <c r="C1062" s="24"/>
    </row>
    <row r="1063" spans="1:3" ht="14">
      <c r="A1063" s="25"/>
      <c r="C1063" s="24"/>
    </row>
    <row r="1064" spans="1:3" ht="14">
      <c r="A1064" s="25"/>
      <c r="C1064" s="24"/>
    </row>
    <row r="1065" spans="1:3" ht="14">
      <c r="A1065" s="25"/>
      <c r="C1065" s="24"/>
    </row>
    <row r="1066" spans="1:3" ht="14">
      <c r="A1066" s="25"/>
      <c r="C1066" s="24"/>
    </row>
    <row r="1067" spans="1:3" ht="14">
      <c r="A1067" s="25"/>
      <c r="C1067" s="24"/>
    </row>
    <row r="1068" spans="1:3" ht="14">
      <c r="A1068" s="25"/>
      <c r="C1068" s="24"/>
    </row>
    <row r="1069" spans="1:3" ht="14">
      <c r="A1069" s="25"/>
      <c r="C1069" s="24"/>
    </row>
    <row r="1070" spans="1:3" ht="14">
      <c r="A1070" s="25"/>
      <c r="C1070" s="24"/>
    </row>
    <row r="1071" spans="1:3" ht="14">
      <c r="A1071" s="25"/>
      <c r="C1071" s="24"/>
    </row>
    <row r="1072" spans="1:3" ht="14">
      <c r="A1072" s="25"/>
      <c r="C1072" s="24"/>
    </row>
    <row r="1073" spans="1:3" ht="14">
      <c r="A1073" s="25"/>
      <c r="C1073" s="24"/>
    </row>
    <row r="1074" spans="1:3" ht="14">
      <c r="A1074" s="25"/>
      <c r="C1074" s="24"/>
    </row>
    <row r="1075" spans="1:3" ht="14">
      <c r="A1075" s="25"/>
      <c r="C1075" s="24"/>
    </row>
    <row r="1076" spans="1:3" ht="14">
      <c r="A1076" s="25"/>
      <c r="C1076" s="24"/>
    </row>
    <row r="1077" spans="1:3" ht="14">
      <c r="A1077" s="25"/>
      <c r="C1077" s="24"/>
    </row>
    <row r="1078" spans="1:3" ht="14">
      <c r="A1078" s="25"/>
      <c r="C1078" s="24"/>
    </row>
    <row r="1079" spans="1:3" ht="14">
      <c r="A1079" s="25"/>
      <c r="C1079" s="24"/>
    </row>
    <row r="1080" spans="1:3" ht="14">
      <c r="A1080" s="25"/>
      <c r="C1080" s="24"/>
    </row>
    <row r="1081" spans="1:3" ht="14">
      <c r="A1081" s="25"/>
      <c r="C1081" s="24"/>
    </row>
    <row r="1082" spans="1:3" ht="14">
      <c r="A1082" s="25"/>
      <c r="C1082" s="24"/>
    </row>
    <row r="1083" spans="1:3" ht="14">
      <c r="A1083" s="25"/>
      <c r="C1083" s="24"/>
    </row>
    <row r="1084" spans="1:3" ht="14">
      <c r="A1084" s="25"/>
      <c r="C1084" s="24"/>
    </row>
    <row r="1085" spans="1:3" ht="14">
      <c r="A1085" s="25"/>
      <c r="C1085" s="24"/>
    </row>
    <row r="1086" spans="1:3" ht="14">
      <c r="A1086" s="25"/>
      <c r="C1086" s="24"/>
    </row>
    <row r="1087" spans="1:3" ht="14">
      <c r="A1087" s="25"/>
      <c r="C1087" s="24"/>
    </row>
    <row r="1088" spans="1:3" ht="14">
      <c r="A1088" s="25"/>
      <c r="C1088" s="24"/>
    </row>
    <row r="1089" spans="1:3" ht="14">
      <c r="A1089" s="25"/>
      <c r="C1089" s="24"/>
    </row>
    <row r="1090" spans="1:3" ht="14">
      <c r="A1090" s="25"/>
      <c r="C1090" s="24"/>
    </row>
    <row r="1091" spans="1:3" ht="14">
      <c r="A1091" s="25"/>
      <c r="C1091" s="24"/>
    </row>
    <row r="1092" spans="1:3" ht="14">
      <c r="A1092" s="25"/>
      <c r="C1092" s="24"/>
    </row>
    <row r="1093" spans="1:3" ht="14">
      <c r="A1093" s="25"/>
      <c r="C1093" s="24"/>
    </row>
    <row r="1094" spans="1:3" ht="14">
      <c r="A1094" s="25"/>
      <c r="C1094" s="24"/>
    </row>
    <row r="1095" spans="1:3" ht="14">
      <c r="A1095" s="25"/>
      <c r="C1095" s="24"/>
    </row>
    <row r="1096" spans="1:3" ht="14">
      <c r="A1096" s="25"/>
      <c r="C1096" s="24"/>
    </row>
    <row r="1097" spans="1:3" ht="14">
      <c r="A1097" s="25"/>
      <c r="C1097" s="24"/>
    </row>
    <row r="1098" spans="1:3" ht="14">
      <c r="A1098" s="25"/>
      <c r="C1098" s="24"/>
    </row>
    <row r="1099" spans="1:3" ht="14">
      <c r="A1099" s="25"/>
      <c r="C1099" s="24"/>
    </row>
    <row r="1100" spans="1:3" ht="14">
      <c r="A1100" s="25"/>
      <c r="C1100" s="24"/>
    </row>
    <row r="1101" spans="1:3" ht="14">
      <c r="A1101" s="25"/>
      <c r="C1101" s="24"/>
    </row>
    <row r="1102" spans="1:3" ht="14">
      <c r="A1102" s="25"/>
      <c r="C1102" s="24"/>
    </row>
    <row r="1103" spans="1:3" ht="14">
      <c r="A1103" s="25"/>
      <c r="C1103" s="24"/>
    </row>
    <row r="1104" spans="1:3" ht="14">
      <c r="A1104" s="25"/>
      <c r="C1104" s="24"/>
    </row>
    <row r="1105" spans="1:3" ht="14">
      <c r="A1105" s="25"/>
      <c r="C1105" s="24"/>
    </row>
    <row r="1106" spans="1:3" ht="14">
      <c r="A1106" s="25"/>
      <c r="C1106" s="24"/>
    </row>
    <row r="1107" spans="1:3" ht="14">
      <c r="A1107" s="25"/>
      <c r="C1107" s="24"/>
    </row>
    <row r="1108" spans="1:3" ht="14">
      <c r="A1108" s="25"/>
      <c r="C1108" s="24"/>
    </row>
    <row r="1109" spans="1:3" ht="14">
      <c r="A1109" s="25"/>
      <c r="C1109" s="24"/>
    </row>
    <row r="1110" spans="1:3" ht="14">
      <c r="A1110" s="25"/>
      <c r="C1110" s="24"/>
    </row>
    <row r="1111" spans="1:3" ht="14">
      <c r="A1111" s="25"/>
      <c r="C1111" s="24"/>
    </row>
    <row r="1112" spans="1:3" ht="14">
      <c r="A1112" s="25"/>
      <c r="C1112" s="24"/>
    </row>
    <row r="1113" spans="1:3" ht="14">
      <c r="A1113" s="25"/>
      <c r="C1113" s="24"/>
    </row>
    <row r="1114" spans="1:3" ht="14">
      <c r="A1114" s="25"/>
      <c r="C1114" s="24"/>
    </row>
    <row r="1115" spans="1:3" ht="14">
      <c r="A1115" s="25"/>
      <c r="C1115" s="24"/>
    </row>
    <row r="1116" spans="1:3" ht="14">
      <c r="A1116" s="25"/>
      <c r="C1116" s="24"/>
    </row>
    <row r="1117" spans="1:3" ht="14">
      <c r="A1117" s="25"/>
      <c r="C1117" s="24"/>
    </row>
    <row r="1118" spans="1:3" ht="14">
      <c r="A1118" s="25"/>
      <c r="C1118" s="24"/>
    </row>
    <row r="1119" spans="1:3" ht="14">
      <c r="A1119" s="25"/>
      <c r="C1119" s="24"/>
    </row>
    <row r="1120" spans="1:3" ht="14">
      <c r="A1120" s="25"/>
      <c r="C1120" s="24"/>
    </row>
    <row r="1121" spans="1:3" ht="14">
      <c r="A1121" s="25"/>
      <c r="C1121" s="24"/>
    </row>
    <row r="1122" spans="1:3" ht="14">
      <c r="A1122" s="25"/>
      <c r="C1122" s="24"/>
    </row>
    <row r="1123" spans="1:3" ht="14">
      <c r="A1123" s="25"/>
      <c r="C1123" s="24"/>
    </row>
    <row r="1124" spans="1:3" ht="14">
      <c r="A1124" s="25"/>
      <c r="C1124" s="24"/>
    </row>
    <row r="1125" spans="1:3" ht="14">
      <c r="A1125" s="25"/>
      <c r="C1125" s="24"/>
    </row>
    <row r="1126" spans="1:3" ht="14">
      <c r="A1126" s="25"/>
      <c r="C1126" s="24"/>
    </row>
    <row r="1127" spans="1:3" ht="14">
      <c r="A1127" s="25"/>
      <c r="C1127" s="24"/>
    </row>
    <row r="1128" spans="1:3" ht="14">
      <c r="A1128" s="25"/>
      <c r="C1128" s="24"/>
    </row>
    <row r="1129" spans="1:3" ht="14">
      <c r="A1129" s="25"/>
      <c r="C1129" s="24"/>
    </row>
    <row r="1130" spans="1:3" ht="14">
      <c r="A1130" s="25"/>
      <c r="C1130" s="24"/>
    </row>
    <row r="1131" spans="1:3" ht="14">
      <c r="A1131" s="25"/>
      <c r="C1131" s="24"/>
    </row>
    <row r="1132" spans="1:3" ht="14">
      <c r="A1132" s="25"/>
      <c r="C1132" s="24"/>
    </row>
    <row r="1133" spans="1:3" ht="14">
      <c r="A1133" s="25"/>
      <c r="C1133" s="24"/>
    </row>
    <row r="1134" spans="1:3" ht="14">
      <c r="A1134" s="25"/>
      <c r="C1134" s="24"/>
    </row>
    <row r="1135" spans="1:3" ht="14">
      <c r="A1135" s="25"/>
      <c r="C1135" s="24"/>
    </row>
    <row r="1136" spans="1:3" ht="14">
      <c r="A1136" s="25"/>
      <c r="C1136" s="24"/>
    </row>
    <row r="1137" spans="1:3" ht="14">
      <c r="A1137" s="25"/>
      <c r="C1137" s="24"/>
    </row>
    <row r="1138" spans="1:3" ht="14">
      <c r="A1138" s="25"/>
      <c r="C1138" s="24"/>
    </row>
    <row r="1139" spans="1:3" ht="14">
      <c r="A1139" s="25"/>
      <c r="C1139" s="24"/>
    </row>
    <row r="1140" spans="1:3" ht="14">
      <c r="A1140" s="25"/>
      <c r="C1140" s="24"/>
    </row>
    <row r="1141" spans="1:3" ht="14">
      <c r="A1141" s="25"/>
      <c r="C1141" s="24"/>
    </row>
    <row r="1142" spans="1:3" ht="14">
      <c r="A1142" s="25"/>
      <c r="C1142" s="24"/>
    </row>
    <row r="1143" spans="1:3" ht="14">
      <c r="A1143" s="25"/>
      <c r="C1143" s="24"/>
    </row>
    <row r="1144" spans="1:3" ht="14">
      <c r="A1144" s="25"/>
      <c r="C1144" s="24"/>
    </row>
    <row r="1145" spans="1:3" ht="14">
      <c r="A1145" s="25"/>
      <c r="C1145" s="24"/>
    </row>
    <row r="1146" spans="1:3" ht="14">
      <c r="A1146" s="25"/>
      <c r="C1146" s="24"/>
    </row>
    <row r="1147" spans="1:3" ht="14">
      <c r="A1147" s="25"/>
      <c r="C1147" s="24"/>
    </row>
    <row r="1148" spans="1:3" ht="14">
      <c r="A1148" s="25"/>
      <c r="C1148" s="24"/>
    </row>
    <row r="1149" spans="1:3" ht="14">
      <c r="A1149" s="25"/>
      <c r="C1149" s="24"/>
    </row>
    <row r="1150" spans="1:3" ht="14">
      <c r="A1150" s="25"/>
      <c r="C1150" s="24"/>
    </row>
    <row r="1151" spans="1:3" ht="14">
      <c r="A1151" s="25"/>
      <c r="C1151" s="24"/>
    </row>
    <row r="1152" spans="1:3" ht="14">
      <c r="A1152" s="25"/>
      <c r="C1152" s="24"/>
    </row>
    <row r="1153" spans="1:3" ht="14">
      <c r="A1153" s="25"/>
      <c r="C1153" s="24"/>
    </row>
    <row r="1154" spans="1:3" ht="14">
      <c r="A1154" s="25"/>
      <c r="C1154" s="24"/>
    </row>
    <row r="1155" spans="1:3" ht="14">
      <c r="A1155" s="25"/>
      <c r="C1155" s="24"/>
    </row>
    <row r="1156" spans="1:3" ht="14">
      <c r="A1156" s="25"/>
      <c r="C1156" s="24"/>
    </row>
    <row r="1157" spans="1:3" ht="14">
      <c r="A1157" s="25"/>
      <c r="C1157" s="24"/>
    </row>
    <row r="1158" spans="1:3" ht="14">
      <c r="A1158" s="25"/>
      <c r="C1158" s="24"/>
    </row>
    <row r="1159" spans="1:3" ht="14">
      <c r="A1159" s="25"/>
      <c r="C1159" s="24"/>
    </row>
    <row r="1160" spans="1:3" ht="14">
      <c r="A1160" s="25"/>
      <c r="C1160" s="24"/>
    </row>
    <row r="1161" spans="1:3" ht="14">
      <c r="A1161" s="25"/>
      <c r="C1161" s="24"/>
    </row>
    <row r="1162" spans="1:3" ht="14">
      <c r="A1162" s="25"/>
      <c r="C1162" s="24"/>
    </row>
    <row r="1163" spans="1:3" ht="14">
      <c r="A1163" s="25"/>
      <c r="C1163" s="24"/>
    </row>
    <row r="1164" spans="1:3" ht="14">
      <c r="A1164" s="25"/>
      <c r="C1164" s="24"/>
    </row>
    <row r="1165" spans="1:3" ht="14">
      <c r="A1165" s="25"/>
      <c r="C1165" s="24"/>
    </row>
    <row r="1166" spans="1:3" ht="14">
      <c r="A1166" s="25"/>
      <c r="C1166" s="24"/>
    </row>
    <row r="1167" spans="1:3" ht="14">
      <c r="A1167" s="25"/>
      <c r="C1167" s="24"/>
    </row>
    <row r="1168" spans="1:3" ht="14">
      <c r="A1168" s="25"/>
      <c r="C1168" s="24"/>
    </row>
    <row r="1169" spans="1:3" ht="14">
      <c r="A1169" s="25"/>
      <c r="C1169" s="24"/>
    </row>
    <row r="1170" spans="1:3" ht="14">
      <c r="A1170" s="25"/>
      <c r="C1170" s="24"/>
    </row>
    <row r="1171" spans="1:3" ht="14">
      <c r="A1171" s="25"/>
      <c r="C1171" s="24"/>
    </row>
    <row r="1172" spans="1:3" ht="14">
      <c r="A1172" s="25"/>
      <c r="C1172" s="24"/>
    </row>
    <row r="1173" spans="1:3" ht="14">
      <c r="A1173" s="25"/>
      <c r="C1173" s="24"/>
    </row>
    <row r="1174" spans="1:3" ht="14">
      <c r="A1174" s="25"/>
      <c r="C1174" s="24"/>
    </row>
    <row r="1175" spans="1:3" ht="14">
      <c r="A1175" s="25"/>
      <c r="C1175" s="24"/>
    </row>
    <row r="1176" spans="1:3" ht="14">
      <c r="A1176" s="25"/>
      <c r="C1176" s="24"/>
    </row>
    <row r="1177" spans="1:3" ht="14">
      <c r="A1177" s="25"/>
      <c r="C1177" s="24"/>
    </row>
    <row r="1178" spans="1:3" ht="14">
      <c r="A1178" s="25"/>
      <c r="C1178" s="24"/>
    </row>
    <row r="1179" spans="1:3" ht="14">
      <c r="A1179" s="25"/>
      <c r="C1179" s="24"/>
    </row>
    <row r="1180" spans="1:3" ht="14">
      <c r="A1180" s="25"/>
      <c r="C1180" s="24"/>
    </row>
    <row r="1181" spans="1:3" ht="14">
      <c r="A1181" s="25"/>
      <c r="C1181" s="24"/>
    </row>
    <row r="1182" spans="1:3" ht="14">
      <c r="A1182" s="25"/>
      <c r="C1182" s="24"/>
    </row>
    <row r="1183" spans="1:3" ht="14">
      <c r="A1183" s="25"/>
      <c r="C1183" s="24"/>
    </row>
    <row r="1184" spans="1:3" ht="14">
      <c r="A1184" s="25"/>
      <c r="C1184" s="24"/>
    </row>
    <row r="1185" spans="1:3" ht="14">
      <c r="A1185" s="25"/>
      <c r="C1185" s="24"/>
    </row>
    <row r="1186" spans="1:3" ht="14">
      <c r="A1186" s="25"/>
      <c r="C1186" s="24"/>
    </row>
    <row r="1187" spans="1:3" ht="14">
      <c r="A1187" s="25"/>
      <c r="C1187" s="24"/>
    </row>
    <row r="1188" spans="1:3" ht="14">
      <c r="A1188" s="25"/>
      <c r="C1188" s="24"/>
    </row>
    <row r="1189" spans="1:3" ht="14">
      <c r="A1189" s="25"/>
      <c r="C1189" s="24"/>
    </row>
    <row r="1190" spans="1:3" ht="14">
      <c r="A1190" s="25"/>
      <c r="C1190" s="24"/>
    </row>
    <row r="1191" spans="1:3" ht="14">
      <c r="A1191" s="25"/>
      <c r="C1191" s="24"/>
    </row>
    <row r="1192" spans="1:3" ht="14">
      <c r="A1192" s="25"/>
      <c r="C1192" s="24"/>
    </row>
    <row r="1193" spans="1:3" ht="14">
      <c r="A1193" s="25"/>
      <c r="C1193" s="24"/>
    </row>
    <row r="1194" spans="1:3" ht="14">
      <c r="A1194" s="25"/>
      <c r="C1194" s="24"/>
    </row>
    <row r="1195" spans="1:3" ht="14">
      <c r="A1195" s="25"/>
      <c r="C1195" s="24"/>
    </row>
    <row r="1196" spans="1:3" ht="14">
      <c r="A1196" s="25"/>
      <c r="C1196" s="24"/>
    </row>
    <row r="1197" spans="1:3" ht="14">
      <c r="A1197" s="25"/>
      <c r="C1197" s="24"/>
    </row>
    <row r="1198" spans="1:3" ht="14">
      <c r="A1198" s="25"/>
      <c r="C1198" s="24"/>
    </row>
    <row r="1199" spans="1:3" ht="14">
      <c r="A1199" s="25"/>
      <c r="C1199" s="24"/>
    </row>
    <row r="1200" spans="1:3" ht="14">
      <c r="A1200" s="25"/>
      <c r="C1200" s="24"/>
    </row>
    <row r="1201" spans="1:3" ht="14">
      <c r="A1201" s="25"/>
      <c r="C1201" s="24"/>
    </row>
    <row r="1202" spans="1:3" ht="14">
      <c r="A1202" s="25"/>
      <c r="C1202" s="24"/>
    </row>
    <row r="1203" spans="1:3" ht="14">
      <c r="A1203" s="25"/>
      <c r="C1203" s="24"/>
    </row>
    <row r="1204" spans="1:3" ht="14">
      <c r="A1204" s="25"/>
      <c r="C1204" s="24"/>
    </row>
    <row r="1205" spans="1:3" ht="14">
      <c r="A1205" s="25"/>
      <c r="C1205" s="24"/>
    </row>
    <row r="1206" spans="1:3" ht="14">
      <c r="A1206" s="25"/>
      <c r="C1206" s="24"/>
    </row>
    <row r="1207" spans="1:3" ht="14">
      <c r="A1207" s="25"/>
      <c r="C1207" s="24"/>
    </row>
  </sheetData>
  <autoFilter ref="A1:A207" xr:uid="{00000000-0009-0000-0000-000007000000}"/>
  <customSheetViews>
    <customSheetView guid="{CD01A12A-D4E4-447C-9261-FE38C9B00FF9}" filter="1" showAutoFilter="1">
      <pageMargins left="0.7" right="0.7" top="0.75" bottom="0.75" header="0.3" footer="0.3"/>
      <autoFilter ref="A1:A207" xr:uid="{00000000-0000-0000-0000-000000000000}"/>
    </customSheetView>
  </customSheetViews>
  <hyperlinks>
    <hyperlink ref="A20" r:id="rId1" display="https://www.mlforhc.org/s/Tonekaboni_S" xr:uid="{00000000-0004-0000-0700-000000000000}"/>
    <hyperlink ref="A21" r:id="rId2" display="https://www.mlforhc.org/s/1.pdf" xr:uid="{00000000-0004-0000-0700-000001000000}"/>
    <hyperlink ref="A22" r:id="rId3" display="https://www.mlforhc.org/s/2.pdf" xr:uid="{00000000-0004-0000-0700-000002000000}"/>
    <hyperlink ref="A23" r:id="rId4" display="https://www.mlforhc.org/s/3.pdf" xr:uid="{00000000-0004-0000-0700-000003000000}"/>
    <hyperlink ref="A28" r:id="rId5" display="https://www.mlforhc.org/s/8.pdf" xr:uid="{00000000-0004-0000-0700-000004000000}"/>
    <hyperlink ref="A29" r:id="rId6" display="https://www.mlforhc.org/s/9.pdf" xr:uid="{00000000-0004-0000-0700-000005000000}"/>
    <hyperlink ref="A31" r:id="rId7" display="https://www.mlforhc.org/s/11.pdf" xr:uid="{00000000-0004-0000-0700-000006000000}"/>
    <hyperlink ref="A32" r:id="rId8" display="https://www.mlforhc.org/s/12.pdf" xr:uid="{00000000-0004-0000-0700-000007000000}"/>
    <hyperlink ref="A33" r:id="rId9" display="https://www.mlforhc.org/s/13.pdf" xr:uid="{00000000-0004-0000-0700-000008000000}"/>
    <hyperlink ref="A38" r:id="rId10" display="https://www.mlforhc.org/s/18.pdf" xr:uid="{00000000-0004-0000-0700-000009000000}"/>
    <hyperlink ref="A39" r:id="rId11" display="https://www.mlforhc.org/s/19.pdf" xr:uid="{00000000-0004-0000-0700-00000A000000}"/>
    <hyperlink ref="A42" r:id="rId12" display="https://www.mlforhc.org/s/22.pdf" xr:uid="{00000000-0004-0000-0700-00000B000000}"/>
    <hyperlink ref="A43" r:id="rId13" display="https://www.mlforhc.org/s/23.pdf" xr:uid="{00000000-0004-0000-0700-00000C000000}"/>
    <hyperlink ref="A45" r:id="rId14" display="https://www.mlforhc.org/s/25.pdf" xr:uid="{00000000-0004-0000-0700-00000D000000}"/>
    <hyperlink ref="A47" r:id="rId15" display="https://www.mlforhc.org/s/28.pdf" xr:uid="{00000000-0004-0000-0700-00000E000000}"/>
    <hyperlink ref="A48" r:id="rId16" display="https://www.mlforhc.org/s/29.pdf" xr:uid="{00000000-0004-0000-0700-00000F000000}"/>
    <hyperlink ref="A50" r:id="rId17" display="https://www.mlforhc.org/s/31.pdf" xr:uid="{00000000-0004-0000-0700-000010000000}"/>
    <hyperlink ref="A51" r:id="rId18" display="http://mucmd.org/CameraReadySubmissions/1%5CCameraReadySubmission%5Cpcpas.pdf" xr:uid="{00000000-0004-0000-0700-000011000000}"/>
    <hyperlink ref="A52" r:id="rId19" display="http://mucmd.org/CameraReadySubmissions/4%5CCameraReadySubmission%5CP_Farnoosh_Sparse_MLHC_2017.pdf" xr:uid="{00000000-0004-0000-0700-000012000000}"/>
    <hyperlink ref="A53" r:id="rId20" display="http://mucmd.org/CameraReadySubmissions/9%5CCameraReadySubmission%5CCLC_camera_ready.pdf" xr:uid="{00000000-0004-0000-0700-000013000000}"/>
    <hyperlink ref="A54" r:id="rId21" display="http://mucmd.org/CameraReadySubmissions/13%5CCameraReadySubmission%5CSubmission 13 - Forte et al..pdf" xr:uid="{00000000-0004-0000-0700-000014000000}"/>
    <hyperlink ref="A55" r:id="rId22" display="http://mucmd.org/CameraReadySubmissions/16_short_fuse_paper(1).pdf" xr:uid="{00000000-0004-0000-0700-000015000000}"/>
    <hyperlink ref="A56" r:id="rId23" display="http://mucmd.org/CameraReadySubmissions/23%5CCameraReadySubmission%5C0023.pdf" xr:uid="{00000000-0004-0000-0700-000016000000}"/>
    <hyperlink ref="A57" r:id="rId24" display="http://mucmd.org/CameraReadySubmissions/25%5CCameraReadySubmission%5Csample.pdf" xr:uid="{00000000-0004-0000-0700-000017000000}"/>
    <hyperlink ref="A58" r:id="rId25" display="http://mucmd.org/CameraReadySubmissions/26%5CCameraReadySubmission%5Ccamera-ready-predicting(3).pdf" xr:uid="{00000000-0004-0000-0700-000018000000}"/>
    <hyperlink ref="A59" r:id="rId26" display="http://mucmd.org/CameraReadySubmissions/27%5CCameraReadySubmission%5CFiorini_etal_MLHC2017.pdf" xr:uid="{00000000-0004-0000-0700-000019000000}"/>
    <hyperlink ref="A60" r:id="rId27" display="http://mucmd.org/CameraReadySubmissions/31%5CCameraReadySubmission%5Cclustering-patients-tensor-full.pdf" xr:uid="{00000000-0004-0000-0700-00001A000000}"/>
    <hyperlink ref="A61" r:id="rId28" display="http://mucmd.org/CameraReadySubmissions/34%5CCameraReadySubmission%5Ccontinuous-state-space _FINAL.pdf" xr:uid="{00000000-0004-0000-0700-00001B000000}"/>
    <hyperlink ref="A62" r:id="rId29" display="http://mucmd.org/CameraReadySubmissions/37%5CCameraReadySubmission%5CPFS_TTRNN_AFT_CameraReady.pdf" xr:uid="{00000000-0004-0000-0700-00001C000000}"/>
    <hyperlink ref="A63" r:id="rId30" display="http://mucmd.org/CameraReadySubmissions/40%5CCameraReadySubmission%5Cpatient_similarity.pdf" xr:uid="{00000000-0004-0000-0700-00001D000000}"/>
    <hyperlink ref="A64" r:id="rId31" display="http://mucmd.org/CameraReadySubmissions/46%5CCameraReadySubmission%5Cmain.pdf" xr:uid="{00000000-0004-0000-0700-00001E000000}"/>
    <hyperlink ref="A65" r:id="rId32" display="http://mucmd.org/CameraReadySubmissions/51%5CCameraReadySubmission%5Cjahja_lizotte_tolerance.pdf" xr:uid="{00000000-0004-0000-0700-00001F000000}"/>
    <hyperlink ref="A66" r:id="rId33" display="http://mucmd.org/CameraReadySubmissions/52%5CCameraReadySubmission%5CMLHC_2017_FINAL_cameraready.pdf" xr:uid="{00000000-0004-0000-0700-000020000000}"/>
    <hyperlink ref="A67" r:id="rId34" display="http://mucmd.org/CameraReadySubmissions/53%5CCameraReadySubmission%5CCR.pdf" xr:uid="{00000000-0004-0000-0700-000021000000}"/>
    <hyperlink ref="A68" r:id="rId35" display="http://mucmd.org/CameraReadySubmissions/54%5CCameraReadySubmission%5Cmucmd_edited.pdf" xr:uid="{00000000-0004-0000-0700-000022000000}"/>
    <hyperlink ref="A69" r:id="rId36" display="http://mucmd.org/CameraReadySubmissions/60%5CCameraReadySubmission%5Ccamera-ready_DRL_concept-extract_v2.pdf" xr:uid="{00000000-0004-0000-0700-000023000000}"/>
    <hyperlink ref="A70" r:id="rId37" display="http://mucmd.org/CameraReadySubmissions/62%5CCameraReadySubmission%5Cmedgan-mlhc-2017.pdf" xr:uid="{00000000-0004-0000-0700-000024000000}"/>
    <hyperlink ref="A71" r:id="rId38" display="http://mucmd.org/CameraReadySubmissions/63%5CCameraReadySubmission%5Cmlhc_2017.pdf" xr:uid="{00000000-0004-0000-0700-000025000000}"/>
    <hyperlink ref="A72" r:id="rId39" display="http://mucmd.org/CameraReadySubmissions/65%5CCameraReadySubmission%5Cclinical-intervention-prediction (4).pdf" xr:uid="{00000000-0004-0000-0700-000026000000}"/>
    <hyperlink ref="A73" r:id="rId40" display="http://mucmd.org/CameraReadySubmissions/67%5CCameraReadySubmission%5Cunderstanding-coagulopathy-multi (6).pdf" xr:uid="{00000000-0004-0000-0700-000027000000}"/>
    <hyperlink ref="A74" r:id="rId41" display="http://mucmd.org/CameraReadySubmissions/76%5CCameraReadySubmission%5CMLHC.pdf" xr:uid="{00000000-0004-0000-0700-000028000000}"/>
    <hyperlink ref="A75" r:id="rId42" display="http://mucmd.org/CameraReadySubmissions/77_reproducibility-critical-care.pdf" xr:uid="{00000000-0004-0000-0700-000029000000}"/>
    <hyperlink ref="A76" r:id="rId43" display="https://arxiv.org/pdf/1807.02617.pdf" xr:uid="{00000000-0004-0000-0700-00002A000000}"/>
    <hyperlink ref="A77" r:id="rId44" display="https://arxiv.org/pdf/1807.03633.pdf" xr:uid="{00000000-0004-0000-0700-00002B000000}"/>
    <hyperlink ref="A78" r:id="rId45" display="http://arxiv.org/pdf/1807.03159.pdf" xr:uid="{00000000-0004-0000-0700-00002C000000}"/>
    <hyperlink ref="A79" r:id="rId46" display="https://arxiv.org/pdf/1808.02602.pdf" xr:uid="{00000000-0004-0000-0700-00002D000000}"/>
    <hyperlink ref="A80" r:id="rId47" display="https://arxiv.org/pdf/1806.09542.pdf" xr:uid="{00000000-0004-0000-0700-00002E000000}"/>
    <hyperlink ref="A81" r:id="rId48" display="http://arxiv.org/pdf/1807.01619.pdf" xr:uid="{00000000-0004-0000-0700-00002F000000}"/>
    <hyperlink ref="A82" r:id="rId49" display="https://arxiv.org/pdf/1807.02442.pdf" xr:uid="{00000000-0004-0000-0700-000030000000}"/>
    <hyperlink ref="A83" r:id="rId50" display="https://arxiv.org/pdf/1807.00637.pdf" xr:uid="{00000000-0004-0000-0700-000031000000}"/>
    <hyperlink ref="A84" r:id="rId51" display="https://arxiv.org/pdf/1807.01705.pdf" xr:uid="{00000000-0004-0000-0700-000032000000}"/>
    <hyperlink ref="A85" r:id="rId52" display="http://arxiv.org/pdf/1807.03179.pdf" xr:uid="{00000000-0004-0000-0700-000033000000}"/>
    <hyperlink ref="A86" r:id="rId53" display="https://arxiv.org/pdf/1807.04077.pdf" xr:uid="{00000000-0004-0000-0700-000034000000}"/>
    <hyperlink ref="A87" r:id="rId54" display="https://arxiv.org/pdf/1807.04667.pdf" xr:uid="{00000000-0004-0000-0700-000035000000}"/>
    <hyperlink ref="A88" r:id="rId55" display="https://arxiv.org/pdf/1806.11189.pdf" xr:uid="{00000000-0004-0000-0700-000036000000}"/>
    <hyperlink ref="A89" r:id="rId56" display="https://arxiv.org/pdf/1807.01000.pdf" xr:uid="{00000000-0004-0000-0700-000037000000}"/>
    <hyperlink ref="A90" r:id="rId57" display="https://arxiv.org/pdf/1806.11345.pdf" xr:uid="{00000000-0004-0000-0700-000038000000}"/>
    <hyperlink ref="A91" r:id="rId58" display="https://arxiv.org/pdf/1807.01514.pdf" xr:uid="{00000000-0004-0000-0700-000039000000}"/>
    <hyperlink ref="A92" r:id="rId59" display="https://arxiv.org/pdf/1807.03095.pdf" xr:uid="{00000000-0004-0000-0700-00003A000000}"/>
    <hyperlink ref="A93" r:id="rId60" display="https://arxiv.org/pdf/1807.02608.pdf" xr:uid="{00000000-0004-0000-0700-00003B000000}"/>
    <hyperlink ref="A94" r:id="rId61" display="https://arxiv.org/pdf/1807.08039.pdf" xr:uid="{00000000-0004-0000-0700-00003C000000}"/>
    <hyperlink ref="A95" r:id="rId62" display="https://arxiv.org/pdf/1808.04411.pdf" xr:uid="{00000000-0004-0000-0700-00003D000000}"/>
    <hyperlink ref="A96" r:id="rId63" display="https://arxiv.org/pdf/1807.02599.pdf" xr:uid="{00000000-0004-0000-0700-00003E000000}"/>
    <hyperlink ref="A176" r:id="rId64" display="https://arxiv.org/abs/1804.11046" xr:uid="{00000000-0004-0000-0700-00003F000000}"/>
    <hyperlink ref="A177" r:id="rId65" display="https://arxiv.org/abs/1811.08803" xr:uid="{00000000-0004-0000-0700-000040000000}"/>
    <hyperlink ref="A179" r:id="rId66" display="http://arxiv.org/abs/1812.01087" xr:uid="{00000000-0004-0000-0700-000041000000}"/>
    <hyperlink ref="A180" r:id="rId67" display="https://arxiv.org/abs/1812.00884" xr:uid="{00000000-0004-0000-0700-000042000000}"/>
    <hyperlink ref="A181" r:id="rId68" display="https://arxiv.org/abs/1811.08943" xr:uid="{00000000-0004-0000-0700-000043000000}"/>
    <hyperlink ref="A182" r:id="rId69" display="https://ml4health.github.io/2018/pages/papers.html" xr:uid="{00000000-0004-0000-0700-000044000000}"/>
    <hyperlink ref="A185" r:id="rId70" display="https://arxiv.org/abs/1811.08633" xr:uid="{00000000-0004-0000-0700-000045000000}"/>
    <hyperlink ref="A186" r:id="rId71" display="https://arxiv.org/abs/1811.10501" xr:uid="{00000000-0004-0000-0700-000046000000}"/>
    <hyperlink ref="A187" r:id="rId72" display="https://arxiv.org/abs/1811.12793" xr:uid="{00000000-0004-0000-0700-000047000000}"/>
    <hyperlink ref="A188" r:id="rId73" display="https://arxiv.org/abs/1811.12194" xr:uid="{00000000-0004-0000-0700-000048000000}"/>
    <hyperlink ref="A189" r:id="rId74" display="https://arxiv.org/abs/1811.10958" xr:uid="{00000000-0004-0000-0700-000049000000}"/>
    <hyperlink ref="A190" r:id="rId75" display="https://arxiv.org/abs/1812.00209" xr:uid="{00000000-0004-0000-0700-00004A000000}"/>
    <hyperlink ref="A192" r:id="rId76" display="https://arxiv.org/abs/1812.00418" xr:uid="{00000000-0004-0000-0700-00004B000000}"/>
    <hyperlink ref="A194" r:id="rId77" display="https://arxiv.org/abs/1811.12589" xr:uid="{00000000-0004-0000-0700-00004C000000}"/>
    <hyperlink ref="A196" r:id="rId78" display="https://arxiv.org/abs/1811.10520" xr:uid="{00000000-0004-0000-0700-00004D000000}"/>
    <hyperlink ref="A197" r:id="rId79" display="https://arxiv.org/abs/1811.12254" xr:uid="{00000000-0004-0000-0700-00004E000000}"/>
    <hyperlink ref="A198" r:id="rId80" display="https://arxiv.org/abs/1812.00058" xr:uid="{00000000-0004-0000-0700-00004F000000}"/>
    <hyperlink ref="A200" r:id="rId81" display="https://arxiv.org/abs/1812.00172" xr:uid="{00000000-0004-0000-0700-000050000000}"/>
    <hyperlink ref="A201" r:id="rId82" display="https://arxiv.org/abs/1811.11920" xr:uid="{00000000-0004-0000-0700-000051000000}"/>
    <hyperlink ref="A202" r:id="rId83" display="https://arxiv.org/abs/1811.10376" xr:uid="{00000000-0004-0000-0700-000052000000}"/>
    <hyperlink ref="A205" r:id="rId84" display="https://arxiv.org/abs/1811.08615" xr:uid="{00000000-0004-0000-0700-000053000000}"/>
    <hyperlink ref="A208" r:id="rId85" display="http://aclweb.org/anthology/N18-1004" xr:uid="{00000000-0004-0000-0700-000054000000}"/>
    <hyperlink ref="A209" r:id="rId86" display="http://aclweb.org/anthology/N18-1003" xr:uid="{00000000-0004-0000-0700-000055000000}"/>
    <hyperlink ref="A210" r:id="rId87" display="http://aclweb.org/anthology/N18-1005" xr:uid="{00000000-0004-0000-0700-000056000000}"/>
    <hyperlink ref="A214" r:id="rId88" display="http://aclweb.org/anthology/D18-1185" xr:uid="{00000000-0004-0000-0700-000057000000}"/>
    <hyperlink ref="A215" r:id="rId89" display="http://aclweb.org/anthology/D18-1133" xr:uid="{00000000-0004-0000-0700-000058000000}"/>
    <hyperlink ref="A216" r:id="rId90" display="http://aclweb.org/anthology/D18-1464" xr:uid="{00000000-0004-0000-0700-000059000000}"/>
    <hyperlink ref="A217" r:id="rId91" display="http://aclweb.org/anthology/N18-1006" xr:uid="{00000000-0004-0000-0700-00005A000000}"/>
    <hyperlink ref="A218" r:id="rId92" display="http://aclweb.org/anthology/N18-1007" xr:uid="{00000000-0004-0000-0700-00005B000000}"/>
    <hyperlink ref="A219" r:id="rId93" display="http://aclweb.org/anthology/N18-1008" xr:uid="{00000000-0004-0000-0700-00005C000000}"/>
    <hyperlink ref="A220" r:id="rId94" display="http://aclweb.org/anthology/D18-1363" xr:uid="{00000000-0004-0000-0700-00005D000000}"/>
    <hyperlink ref="A221" r:id="rId95" display="http://aclweb.org/anthology/D18-1090" xr:uid="{00000000-0004-0000-0700-00005E000000}"/>
    <hyperlink ref="A222" r:id="rId96" display="http://aclweb.org/anthology/D18-1528" xr:uid="{00000000-0004-0000-0700-00005F000000}"/>
    <hyperlink ref="A223" r:id="rId97" display="http://aclweb.org/anthology/P18-3018" xr:uid="{00000000-0004-0000-0700-000060000000}"/>
    <hyperlink ref="A224" r:id="rId98" display="http://aclweb.org/anthology/P18-3015" xr:uid="{00000000-0004-0000-0700-000061000000}"/>
    <hyperlink ref="A225" r:id="rId99" display="http://aclweb.org/anthology/P18-1229" xr:uid="{00000000-0004-0000-0700-000062000000}"/>
    <hyperlink ref="A226" r:id="rId100" display="http://aclweb.org/anthology/D18-1375" xr:uid="{00000000-0004-0000-0700-000063000000}"/>
    <hyperlink ref="A227" r:id="rId101" display="http://aclweb.org/anthology/D18-1103" xr:uid="{00000000-0004-0000-0700-000064000000}"/>
    <hyperlink ref="A228" r:id="rId102" display="http://aclweb.org/anthology/D18-1250" xr:uid="{00000000-0004-0000-0700-000065000000}"/>
    <hyperlink ref="A229" r:id="rId103" display="http://aclweb.org/anthology/P18-1157" xr:uid="{00000000-0004-0000-0700-000066000000}"/>
    <hyperlink ref="A230" r:id="rId104" display="http://aclweb.org/anthology/P18-2087" xr:uid="{00000000-0004-0000-0700-000067000000}"/>
    <hyperlink ref="A231" r:id="rId105" display="http://aclweb.org/anthology/P18-1123" xr:uid="{00000000-0004-0000-0700-000068000000}"/>
    <hyperlink ref="A232" r:id="rId106" display="http://aclweb.org/anthology/N18-1009" xr:uid="{00000000-0004-0000-0700-000069000000}"/>
    <hyperlink ref="A233" r:id="rId107" display="http://aclweb.org/anthology/N18-1010" xr:uid="{00000000-0004-0000-0700-00006A000000}"/>
    <hyperlink ref="A234" r:id="rId108" display="http://aclweb.org/anthology/N18-1011" xr:uid="{00000000-0004-0000-0700-00006B000000}"/>
    <hyperlink ref="A235" r:id="rId109" display="http://aclweb.org/anthology/D18-2020" xr:uid="{00000000-0004-0000-0700-00006C000000}"/>
    <hyperlink ref="A236" r:id="rId110" display="http://aclweb.org/anthology/D18-1236" xr:uid="{00000000-0004-0000-0700-00006D000000}"/>
    <hyperlink ref="A237" r:id="rId111" display="http://aclweb.org/anthology/D18-1218" xr:uid="{00000000-0004-0000-0700-00006E000000}"/>
    <hyperlink ref="A238" r:id="rId112" display="http://aclweb.org/anthology/P18-4001" xr:uid="{00000000-0004-0000-0700-00006F000000}"/>
    <hyperlink ref="A239" r:id="rId113" display="http://aclweb.org/anthology/P18-1013" xr:uid="{00000000-0004-0000-0700-000070000000}"/>
    <hyperlink ref="A240" r:id="rId114" display="http://aclweb.org/anthology/P18-4007" xr:uid="{00000000-0004-0000-0700-000071000000}"/>
    <hyperlink ref="A241" r:id="rId115" display="http://aclweb.org/anthology/N18-1012" xr:uid="{00000000-0004-0000-0700-000072000000}"/>
    <hyperlink ref="A249" r:id="rId116" display="http://aclweb.org/anthology/N18-1013" xr:uid="{00000000-0004-0000-0700-000073000000}"/>
    <hyperlink ref="A250" r:id="rId117" display="http://aclweb.org/anthology/N18-1014" xr:uid="{00000000-0004-0000-0700-000074000000}"/>
    <hyperlink ref="A251" r:id="rId118" display="http://aclweb.org/anthology/D18-1334" xr:uid="{00000000-0004-0000-0700-000075000000}"/>
    <hyperlink ref="A252" r:id="rId119" display="http://aclweb.org/anthology/D18-1350" xr:uid="{00000000-0004-0000-0700-000076000000}"/>
    <hyperlink ref="A253" r:id="rId120" display="http://aclweb.org/anthology/D18-1008" xr:uid="{00000000-0004-0000-0700-000077000000}"/>
    <hyperlink ref="A254" r:id="rId121" display="http://aclweb.org/anthology/P18-2102" xr:uid="{00000000-0004-0000-0700-000078000000}"/>
    <hyperlink ref="A255" r:id="rId122" display="http://aclweb.org/anthology/P18-1175" xr:uid="{00000000-0004-0000-0700-000079000000}"/>
    <hyperlink ref="A256" r:id="rId123" display="http://aclweb.org/anthology/P18-1096" xr:uid="{00000000-0004-0000-0700-00007A000000}"/>
    <hyperlink ref="A262" r:id="rId124" display="http://aclweb.org/anthology/N18-1015" xr:uid="{00000000-0004-0000-0700-00007B000000}"/>
    <hyperlink ref="A263" r:id="rId125" display="http://aclweb.org/anthology/N18-1016" xr:uid="{00000000-0004-0000-0700-00007C000000}"/>
    <hyperlink ref="A264" r:id="rId126" display="http://aclweb.org/anthology/N18-1017" xr:uid="{00000000-0004-0000-0700-00007D000000}"/>
    <hyperlink ref="A265" r:id="rId127" display="http://aclweb.org/anthology/D18-1207" xr:uid="{00000000-0004-0000-0700-00007E000000}"/>
    <hyperlink ref="A266" r:id="rId128" display="http://aclweb.org/anthology/D18-1349" xr:uid="{00000000-0004-0000-0700-00007F000000}"/>
    <hyperlink ref="A267" r:id="rId129" display="http://aclweb.org/anthology/D18-1475" xr:uid="{00000000-0004-0000-0700-000080000000}"/>
    <hyperlink ref="A276" r:id="rId130" display="http://aclweb.org/anthology/P18-2066" xr:uid="{00000000-0004-0000-0700-000081000000}"/>
    <hyperlink ref="A277" r:id="rId131" display="http://aclweb.org/anthology/P18-1144" xr:uid="{00000000-0004-0000-0700-000082000000}"/>
    <hyperlink ref="A278" r:id="rId132" display="http://aclweb.org/anthology/P18-1254" xr:uid="{00000000-0004-0000-0700-000083000000}"/>
    <hyperlink ref="A279" r:id="rId133" display="http://aclweb.org/anthology/N18-1018" xr:uid="{00000000-0004-0000-0700-000084000000}"/>
    <hyperlink ref="A280" r:id="rId134" display="http://aclweb.org/anthology/N18-1019" xr:uid="{00000000-0004-0000-0700-000085000000}"/>
    <hyperlink ref="A281" r:id="rId135" display="http://aclweb.org/anthology/N18-1020" xr:uid="{00000000-0004-0000-0700-000086000000}"/>
    <hyperlink ref="A297" r:id="rId136" display="http://aclweb.org/anthology/N18-1021" xr:uid="{00000000-0004-0000-0700-000087000000}"/>
    <hyperlink ref="A299" r:id="rId137" display="http://aclweb.org/anthology/D18-1163" xr:uid="{00000000-0004-0000-0700-000088000000}"/>
    <hyperlink ref="A337" r:id="rId138" display="http://aclweb.org/anthology/N18-1024" xr:uid="{00000000-0004-0000-0700-000089000000}"/>
    <hyperlink ref="A338" r:id="rId139" display="http://aclweb.org/anthology/N18-1026" xr:uid="{00000000-0004-0000-0700-00008A000000}"/>
    <hyperlink ref="A339" r:id="rId140" display="http://aclweb.org/anthology/N18-1025" xr:uid="{00000000-0004-0000-0700-00008B000000}"/>
    <hyperlink ref="A349" r:id="rId141" display="http://aclweb.org/anthology/N18-1028" xr:uid="{00000000-0004-0000-0700-00008C000000}"/>
    <hyperlink ref="A350" r:id="rId142" display="http://aclweb.org/anthology/N18-1029" xr:uid="{00000000-0004-0000-0700-00008D000000}"/>
    <hyperlink ref="A351" r:id="rId143" display="http://aclweb.org/anthology/N18-1030" xr:uid="{00000000-0004-0000-0700-00008E000000}"/>
    <hyperlink ref="A352" r:id="rId144" display="http://aclweb.org/anthology/D18-1019" xr:uid="{00000000-0004-0000-0700-00008F000000}"/>
    <hyperlink ref="A353" r:id="rId145" display="http://aclweb.org/anthology/D18-1068" xr:uid="{00000000-0004-0000-0700-000090000000}"/>
    <hyperlink ref="A354" r:id="rId146" display="http://aclweb.org/anthology/D18-1384" xr:uid="{00000000-0004-0000-0700-000091000000}"/>
    <hyperlink ref="A355" r:id="rId147" display="http://aclweb.org/anthology/D18-1508" xr:uid="{00000000-0004-0000-0700-000092000000}"/>
    <hyperlink ref="A356" r:id="rId148" display="http://aclweb.org/anthology/D18-1302" xr:uid="{00000000-0004-0000-0700-000093000000}"/>
    <hyperlink ref="A357" r:id="rId149" display="http://aclweb.org/anthology/D18-1501" xr:uid="{00000000-0004-0000-0700-000094000000}"/>
    <hyperlink ref="A358" r:id="rId150" display="http://aclweb.org/anthology/D18-1141" xr:uid="{00000000-0004-0000-0700-000095000000}"/>
    <hyperlink ref="A359" r:id="rId151" display="http://aclweb.org/anthology/D18-1063" xr:uid="{00000000-0004-0000-0700-00009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D966"/>
    <outlinePr summaryBelow="0" summaryRight="0"/>
  </sheetPr>
  <dimension ref="A1:H1001"/>
  <sheetViews>
    <sheetView tabSelected="1" workbookViewId="0">
      <selection activeCell="G12" sqref="G12"/>
    </sheetView>
  </sheetViews>
  <sheetFormatPr baseColWidth="10" defaultColWidth="14.5" defaultRowHeight="15.75" customHeight="1"/>
  <cols>
    <col min="7" max="7" width="14.6640625" customWidth="1"/>
  </cols>
  <sheetData>
    <row r="1" spans="1:8" ht="15.75" customHeight="1">
      <c r="A1" s="27" t="s">
        <v>428</v>
      </c>
      <c r="B1" s="2"/>
      <c r="C1" s="2"/>
      <c r="D1" s="2"/>
      <c r="E1" s="2"/>
      <c r="F1" s="2"/>
      <c r="G1" s="2"/>
      <c r="H1" s="2"/>
    </row>
    <row r="2" spans="1:8" ht="15.75" customHeight="1">
      <c r="B2" s="2" t="s">
        <v>429</v>
      </c>
      <c r="C2" s="2" t="s">
        <v>359</v>
      </c>
      <c r="D2" s="2" t="s">
        <v>360</v>
      </c>
      <c r="E2" s="2" t="s">
        <v>114</v>
      </c>
      <c r="F2" s="2" t="s">
        <v>11</v>
      </c>
      <c r="G2" s="2" t="s">
        <v>361</v>
      </c>
      <c r="H2" s="2" t="s">
        <v>17</v>
      </c>
    </row>
    <row r="3" spans="1:8" ht="15.75" customHeight="1">
      <c r="A3" s="2" t="s">
        <v>74</v>
      </c>
      <c r="B3">
        <f ca="1">COUNTIFS(Paper_Level_Summary!$B:$B,$A3,Paper_Level_Summary!$I:$I,0)</f>
        <v>63</v>
      </c>
      <c r="C3">
        <f ca="1">SUMIFS(Paper_Level_Summary!C:C,Paper_Level_Summary!$B:$B,$A3,Paper_Level_Summary!$I:$I,0)</f>
        <v>24</v>
      </c>
      <c r="D3">
        <f ca="1">SUMIFS(Paper_Level_Summary!D:D,Paper_Level_Summary!$B:$B,$A3,Paper_Level_Summary!$I:$I,0)</f>
        <v>52</v>
      </c>
      <c r="E3">
        <f ca="1">SUMIFS(Paper_Level_Summary!E:E,Paper_Level_Summary!$B:$B,$A3,Paper_Level_Summary!$I:$I,0)</f>
        <v>1</v>
      </c>
      <c r="F3">
        <f ca="1">SUMIFS(Paper_Level_Summary!F:F,Paper_Level_Summary!$B:$B,$A3,Paper_Level_Summary!$I:$I,0)</f>
        <v>59</v>
      </c>
      <c r="G3" t="e">
        <f ca="1">SUMIFS(Paper_Level_Summary!G:G,Paper_Level_Summary!$B:$B,$A3,Paper_Level_Summary!$I:$I,0)</f>
        <v>#NAME?</v>
      </c>
      <c r="H3">
        <f ca="1">SUMIFS(Paper_Level_Summary!H:H,Paper_Level_Summary!$B:$B,$A3,Paper_Level_Summary!$I:$I,0)</f>
        <v>11</v>
      </c>
    </row>
    <row r="4" spans="1:8" ht="15.75" customHeight="1">
      <c r="A4" s="2" t="s">
        <v>62</v>
      </c>
      <c r="B4">
        <f ca="1">COUNTIFS(Paper_Level_Summary!$B:$B,$A4,Paper_Level_Summary!$I:$I,0)</f>
        <v>89</v>
      </c>
      <c r="C4">
        <f ca="1">SUMIFS(Paper_Level_Summary!C:C,Paper_Level_Summary!$B:$B,$A4,Paper_Level_Summary!$I:$I,0)</f>
        <v>44</v>
      </c>
      <c r="D4">
        <f ca="1">SUMIFS(Paper_Level_Summary!D:D,Paper_Level_Summary!$B:$B,$A4,Paper_Level_Summary!$I:$I,0)</f>
        <v>59</v>
      </c>
      <c r="E4">
        <f ca="1">SUMIFS(Paper_Level_Summary!E:E,Paper_Level_Summary!$B:$B,$A4,Paper_Level_Summary!$I:$I,0)</f>
        <v>1</v>
      </c>
      <c r="F4">
        <f ca="1">SUMIFS(Paper_Level_Summary!F:F,Paper_Level_Summary!$B:$B,$A4,Paper_Level_Summary!$I:$I,0)</f>
        <v>85</v>
      </c>
      <c r="G4" t="e">
        <f ca="1">SUMIFS(Paper_Level_Summary!G:G,Paper_Level_Summary!$B:$B,$A4,Paper_Level_Summary!$I:$I,0)</f>
        <v>#NAME?</v>
      </c>
      <c r="H4">
        <f ca="1">SUMIFS(Paper_Level_Summary!H:H,Paper_Level_Summary!$B:$B,$A4,Paper_Level_Summary!$I:$I,0)</f>
        <v>29</v>
      </c>
    </row>
    <row r="5" spans="1:8" ht="15.75" customHeight="1">
      <c r="A5" s="2" t="s">
        <v>50</v>
      </c>
      <c r="B5">
        <f ca="1">COUNTIFS(Paper_Level_Summary!$B:$B,$A5,Paper_Level_Summary!$I:$I,0)</f>
        <v>134</v>
      </c>
      <c r="C5">
        <f ca="1">SUMIFS(Paper_Level_Summary!C:C,Paper_Level_Summary!$B:$B,$A5,Paper_Level_Summary!$I:$I,0)</f>
        <v>18</v>
      </c>
      <c r="D5">
        <f ca="1">SUMIFS(Paper_Level_Summary!D:D,Paper_Level_Summary!$B:$B,$A5,Paper_Level_Summary!$I:$I,0)</f>
        <v>25</v>
      </c>
      <c r="E5">
        <f ca="1">SUMIFS(Paper_Level_Summary!E:E,Paper_Level_Summary!$B:$B,$A5,Paper_Level_Summary!$I:$I,0)</f>
        <v>91</v>
      </c>
      <c r="F5">
        <f ca="1">SUMIFS(Paper_Level_Summary!F:F,Paper_Level_Summary!$B:$B,$A5,Paper_Level_Summary!$I:$I,0)</f>
        <v>69</v>
      </c>
      <c r="G5" t="e">
        <f ca="1">SUMIFS(Paper_Level_Summary!G:G,Paper_Level_Summary!$B:$B,$A5,Paper_Level_Summary!$I:$I,0)</f>
        <v>#NAME?</v>
      </c>
      <c r="H5">
        <f ca="1">SUMIFS(Paper_Level_Summary!H:H,Paper_Level_Summary!$B:$B,$A5,Paper_Level_Summary!$I:$I,0)</f>
        <v>51</v>
      </c>
    </row>
    <row r="6" spans="1:8" ht="15.75" customHeight="1">
      <c r="A6" s="2" t="s">
        <v>28</v>
      </c>
      <c r="B6">
        <f ca="1">COUNTIFS(Paper_Level_Summary!$B:$B,$A6,Paper_Level_Summary!$I:$I,0)</f>
        <v>59</v>
      </c>
      <c r="C6">
        <f ca="1">SUMIFS(Paper_Level_Summary!C:C,Paper_Level_Summary!$B:$B,$A6,Paper_Level_Summary!$I:$I,0)</f>
        <v>28</v>
      </c>
      <c r="D6">
        <f ca="1">SUMIFS(Paper_Level_Summary!D:D,Paper_Level_Summary!$B:$B,$A6,Paper_Level_Summary!$I:$I,0)</f>
        <v>35</v>
      </c>
      <c r="E6">
        <f ca="1">SUMIFS(Paper_Level_Summary!E:E,Paper_Level_Summary!$B:$B,$A6,Paper_Level_Summary!$I:$I,0)</f>
        <v>1</v>
      </c>
      <c r="F6">
        <f ca="1">SUMIFS(Paper_Level_Summary!F:F,Paper_Level_Summary!$B:$B,$A6,Paper_Level_Summary!$I:$I,0)</f>
        <v>52</v>
      </c>
      <c r="G6" t="e">
        <f ca="1">SUMIFS(Paper_Level_Summary!G:G,Paper_Level_Summary!$B:$B,$A6,Paper_Level_Summary!$I:$I,0)</f>
        <v>#NAME?</v>
      </c>
      <c r="H6">
        <f ca="1">SUMIFS(Paper_Level_Summary!H:H,Paper_Level_Summary!$B:$B,$A6,Paper_Level_Summary!$I:$I,0)</f>
        <v>19</v>
      </c>
    </row>
    <row r="7" spans="1:8" ht="15.75" customHeight="1">
      <c r="A7" s="2" t="s">
        <v>430</v>
      </c>
      <c r="B7">
        <f t="shared" ref="B7:H7" ca="1" si="0">SUM(B3:B6)</f>
        <v>345</v>
      </c>
      <c r="C7">
        <f t="shared" ca="1" si="0"/>
        <v>114</v>
      </c>
      <c r="D7">
        <f t="shared" ca="1" si="0"/>
        <v>171</v>
      </c>
      <c r="E7">
        <f t="shared" ca="1" si="0"/>
        <v>94</v>
      </c>
      <c r="F7">
        <f t="shared" ca="1" si="0"/>
        <v>265</v>
      </c>
      <c r="G7" t="e">
        <f t="shared" ca="1" si="0"/>
        <v>#NAME?</v>
      </c>
      <c r="H7">
        <f t="shared" ca="1" si="0"/>
        <v>110</v>
      </c>
    </row>
    <row r="9" spans="1:8" ht="15.75" customHeight="1">
      <c r="A9" s="2" t="s">
        <v>431</v>
      </c>
    </row>
    <row r="10" spans="1:8" ht="15.75" customHeight="1">
      <c r="A10" s="27" t="s">
        <v>432</v>
      </c>
    </row>
    <row r="11" spans="1:8" ht="15.75" customHeight="1">
      <c r="B11" s="2" t="s">
        <v>429</v>
      </c>
      <c r="C11" s="2" t="s">
        <v>359</v>
      </c>
      <c r="D11" s="2" t="s">
        <v>360</v>
      </c>
      <c r="E11" s="2" t="s">
        <v>114</v>
      </c>
      <c r="F11" s="2" t="s">
        <v>11</v>
      </c>
      <c r="G11" s="2" t="s">
        <v>361</v>
      </c>
      <c r="H11" s="2" t="s">
        <v>17</v>
      </c>
    </row>
    <row r="12" spans="1:8" ht="15.75" customHeight="1">
      <c r="A12" s="2" t="s">
        <v>74</v>
      </c>
      <c r="B12">
        <f ca="1">COUNTIFS(Paper_Level_Summary!$B:$B,$A12,Paper_Level_Summary!$I:$I,0)</f>
        <v>63</v>
      </c>
      <c r="C12" s="28">
        <f t="shared" ref="C12:H12" ca="1" si="1">C3/$B12</f>
        <v>0.38095238095238093</v>
      </c>
      <c r="D12" s="28">
        <f t="shared" ca="1" si="1"/>
        <v>0.82539682539682535</v>
      </c>
      <c r="E12" s="28">
        <f t="shared" ca="1" si="1"/>
        <v>1.5873015873015872E-2</v>
      </c>
      <c r="F12" s="28">
        <f t="shared" ca="1" si="1"/>
        <v>0.93650793650793651</v>
      </c>
      <c r="G12" s="28" t="e">
        <f t="shared" ca="1" si="1"/>
        <v>#NAME?</v>
      </c>
      <c r="H12" s="28">
        <f t="shared" ca="1" si="1"/>
        <v>0.17460317460317459</v>
      </c>
    </row>
    <row r="13" spans="1:8" ht="15.75" customHeight="1">
      <c r="A13" s="2" t="s">
        <v>62</v>
      </c>
      <c r="B13">
        <f ca="1">COUNTIFS(Paper_Level_Summary!$B:$B,$A13,Paper_Level_Summary!$I:$I,0)</f>
        <v>89</v>
      </c>
      <c r="C13" s="28">
        <f t="shared" ref="C13:H13" ca="1" si="2">C4/$B13</f>
        <v>0.4943820224719101</v>
      </c>
      <c r="D13" s="28">
        <f t="shared" ca="1" si="2"/>
        <v>0.6629213483146067</v>
      </c>
      <c r="E13" s="28">
        <f t="shared" ca="1" si="2"/>
        <v>1.1235955056179775E-2</v>
      </c>
      <c r="F13" s="28">
        <f t="shared" ca="1" si="2"/>
        <v>0.9550561797752809</v>
      </c>
      <c r="G13" s="28" t="e">
        <f t="shared" ca="1" si="2"/>
        <v>#NAME?</v>
      </c>
      <c r="H13" s="28">
        <f t="shared" ca="1" si="2"/>
        <v>0.3258426966292135</v>
      </c>
    </row>
    <row r="14" spans="1:8" ht="15.75" customHeight="1">
      <c r="A14" s="2" t="s">
        <v>50</v>
      </c>
      <c r="B14">
        <f ca="1">COUNTIFS(Paper_Level_Summary!$B:$B,$A14,Paper_Level_Summary!$I:$I,0)</f>
        <v>134</v>
      </c>
      <c r="C14" s="28">
        <f t="shared" ref="C14:H14" ca="1" si="3">C5/$B14</f>
        <v>0.13432835820895522</v>
      </c>
      <c r="D14" s="28">
        <f t="shared" ca="1" si="3"/>
        <v>0.18656716417910449</v>
      </c>
      <c r="E14" s="28">
        <f t="shared" ca="1" si="3"/>
        <v>0.67910447761194026</v>
      </c>
      <c r="F14" s="28">
        <f t="shared" ca="1" si="3"/>
        <v>0.5149253731343284</v>
      </c>
      <c r="G14" s="28" t="e">
        <f t="shared" ca="1" si="3"/>
        <v>#NAME?</v>
      </c>
      <c r="H14" s="28">
        <f t="shared" ca="1" si="3"/>
        <v>0.38059701492537312</v>
      </c>
    </row>
    <row r="15" spans="1:8" ht="15.75" customHeight="1">
      <c r="A15" s="2" t="s">
        <v>28</v>
      </c>
      <c r="B15">
        <f ca="1">COUNTIFS(Paper_Level_Summary!$B:$B,$A15,Paper_Level_Summary!$I:$I,0)</f>
        <v>59</v>
      </c>
      <c r="C15" s="28">
        <f t="shared" ref="C15:H15" ca="1" si="4">C6/$B15</f>
        <v>0.47457627118644069</v>
      </c>
      <c r="D15" s="28">
        <f t="shared" ca="1" si="4"/>
        <v>0.59322033898305082</v>
      </c>
      <c r="E15" s="28">
        <f t="shared" ca="1" si="4"/>
        <v>1.6949152542372881E-2</v>
      </c>
      <c r="F15" s="28">
        <f t="shared" ca="1" si="4"/>
        <v>0.88135593220338981</v>
      </c>
      <c r="G15" s="28" t="e">
        <f t="shared" ca="1" si="4"/>
        <v>#NAME?</v>
      </c>
      <c r="H15" s="28">
        <f t="shared" ca="1" si="4"/>
        <v>0.32203389830508472</v>
      </c>
    </row>
    <row r="16" spans="1:8" ht="15.75" customHeight="1">
      <c r="A16" s="2" t="s">
        <v>430</v>
      </c>
      <c r="B16">
        <f ca="1">SUM(B12:B15)</f>
        <v>345</v>
      </c>
      <c r="C16" s="28">
        <f t="shared" ref="C16:H16" ca="1" si="5">C7/$B16</f>
        <v>0.33043478260869563</v>
      </c>
      <c r="D16" s="28">
        <f t="shared" ca="1" si="5"/>
        <v>0.4956521739130435</v>
      </c>
      <c r="E16" s="28">
        <f t="shared" ca="1" si="5"/>
        <v>0.27246376811594203</v>
      </c>
      <c r="F16" s="28">
        <f t="shared" ca="1" si="5"/>
        <v>0.76811594202898548</v>
      </c>
      <c r="G16" s="28" t="e">
        <f t="shared" ca="1" si="5"/>
        <v>#NAME?</v>
      </c>
      <c r="H16" s="28">
        <f t="shared" ca="1" si="5"/>
        <v>0.3188405797101449</v>
      </c>
    </row>
    <row r="42" spans="1:2" ht="15.75" customHeight="1">
      <c r="A42" t="str">
        <f ca="1">IFERROR(__xludf.DUMMYFUNCTION("unique(Paper_Level_Summary!K:K)"),"Source")</f>
        <v>Source</v>
      </c>
      <c r="B42" s="2" t="s">
        <v>428</v>
      </c>
    </row>
    <row r="43" spans="1:2" ht="15.75" customHeight="1">
      <c r="A43" t="str">
        <f ca="1">IFERROR(__xludf.DUMMYFUNCTION("""COMPUTED_VALUE"""),"CVPR")</f>
        <v>CVPR</v>
      </c>
      <c r="B43" t="e">
        <f ca="1">COUNTIFS(Paper_Level_Summary!#REF!,A43)</f>
        <v>#REF!</v>
      </c>
    </row>
    <row r="44" spans="1:2" ht="15.75" customHeight="1">
      <c r="A44" t="str">
        <f ca="1">IFERROR(__xludf.DUMMYFUNCTION("""COMPUTED_VALUE"""),"EMNLP")</f>
        <v>EMNLP</v>
      </c>
      <c r="B44" s="29" t="e">
        <f ca="1">COUNTIFS(Paper_Level_Summary!#REF!,A44)</f>
        <v>#REF!</v>
      </c>
    </row>
    <row r="45" spans="1:2" ht="15.75" customHeight="1">
      <c r="A45" t="str">
        <f ca="1">IFERROR(__xludf.DUMMYFUNCTION("""COMPUTED_VALUE"""),"ACL")</f>
        <v>ACL</v>
      </c>
      <c r="B45" s="29" t="e">
        <f ca="1">COUNTIFS(Paper_Level_Summary!#REF!,A45)</f>
        <v>#REF!</v>
      </c>
    </row>
    <row r="46" spans="1:2" ht="15.75" customHeight="1">
      <c r="A46" t="str">
        <f ca="1">IFERROR(__xludf.DUMMYFUNCTION("""COMPUTED_VALUE"""),"NAACL")</f>
        <v>NAACL</v>
      </c>
      <c r="B46" s="29" t="e">
        <f ca="1">COUNTIFS(Paper_Level_Summary!#REF!,A46)</f>
        <v>#REF!</v>
      </c>
    </row>
    <row r="47" spans="1:2" ht="15.75" customHeight="1">
      <c r="A47" t="str">
        <f ca="1">IFERROR(__xludf.DUMMYFUNCTION("""COMPUTED_VALUE"""),"NeurIPS")</f>
        <v>NeurIPS</v>
      </c>
      <c r="B47" t="e">
        <f ca="1">COUNTIFS(Paper_Level_Summary!#REF!,A47)</f>
        <v>#REF!</v>
      </c>
    </row>
    <row r="48" spans="1:2" ht="15.75" customHeight="1">
      <c r="A48" t="str">
        <f ca="1">IFERROR(__xludf.DUMMYFUNCTION("""COMPUTED_VALUE"""),"ICML")</f>
        <v>ICML</v>
      </c>
      <c r="B48" t="e">
        <f ca="1">COUNTIFS(Paper_Level_Summary!#REF!,A48)</f>
        <v>#REF!</v>
      </c>
    </row>
    <row r="49" spans="1:2" ht="15.75" customHeight="1">
      <c r="A49" t="str">
        <f ca="1">IFERROR(__xludf.DUMMYFUNCTION("""COMPUTED_VALUE"""),"KDD")</f>
        <v>KDD</v>
      </c>
      <c r="B49" t="e">
        <f ca="1">COUNTIFS(Paper_Level_Summary!#REF!,A49)</f>
        <v>#REF!</v>
      </c>
    </row>
    <row r="50" spans="1:2" ht="15.75" customHeight="1">
      <c r="A50" t="str">
        <f ca="1">IFERROR(__xludf.DUMMYFUNCTION("""COMPUTED_VALUE"""),"ECCV")</f>
        <v>ECCV</v>
      </c>
      <c r="B50" t="e">
        <f ca="1">COUNTIFS(Paper_Level_Summary!#REF!,A50)</f>
        <v>#REF!</v>
      </c>
    </row>
    <row r="51" spans="1:2" ht="15.75" customHeight="1">
      <c r="A51" t="str">
        <f ca="1">IFERROR(__xludf.DUMMYFUNCTION("""COMPUTED_VALUE"""),"ICCV")</f>
        <v>ICCV</v>
      </c>
      <c r="B51" t="e">
        <f ca="1">COUNTIFS(Paper_Level_Summary!#REF!,A51)</f>
        <v>#REF!</v>
      </c>
    </row>
    <row r="52" spans="1:2" ht="13">
      <c r="A52" t="str">
        <f ca="1">IFERROR(__xludf.DUMMYFUNCTION("""COMPUTED_VALUE"""),"mlhc2018")</f>
        <v>mlhc2018</v>
      </c>
      <c r="B52" t="e">
        <f ca="1">COUNTIFS(Paper_Level_Summary!#REF!,A52)</f>
        <v>#REF!</v>
      </c>
    </row>
    <row r="53" spans="1:2" ht="13">
      <c r="A53" t="str">
        <f ca="1">IFERROR(__xludf.DUMMYFUNCTION("""COMPUTED_VALUE"""),"mlhc2017")</f>
        <v>mlhc2017</v>
      </c>
      <c r="B53" t="e">
        <f ca="1">COUNTIFS(Paper_Level_Summary!#REF!,A53)</f>
        <v>#REF!</v>
      </c>
    </row>
    <row r="54" spans="1:2" ht="13">
      <c r="A54" t="str">
        <f ca="1">IFERROR(__xludf.DUMMYFUNCTION("""COMPUTED_VALUE"""),"kdd2018")</f>
        <v>kdd2018</v>
      </c>
      <c r="B54" t="e">
        <f ca="1">COUNTIFS(Paper_Level_Summary!#REF!,A54)</f>
        <v>#REF!</v>
      </c>
    </row>
    <row r="55" spans="1:2" ht="13">
      <c r="A55" t="str">
        <f ca="1">IFERROR(__xludf.DUMMYFUNCTION("""COMPUTED_VALUE"""),"ml4h2018")</f>
        <v>ml4h2018</v>
      </c>
      <c r="B55" t="e">
        <f ca="1">COUNTIFS(Paper_Level_Summary!#REF!,A55)</f>
        <v>#REF!</v>
      </c>
    </row>
    <row r="56" spans="1:2" ht="13">
      <c r="A56" t="str">
        <f ca="1">IFERROR(__xludf.DUMMYFUNCTION("""COMPUTED_VALUE"""),"ICLR")</f>
        <v>ICLR</v>
      </c>
      <c r="B56" t="e">
        <f ca="1">COUNTIFS(Paper_Level_Summary!#REF!,A56)</f>
        <v>#REF!</v>
      </c>
    </row>
    <row r="57" spans="1:2" ht="13">
      <c r="A57" t="str">
        <f ca="1">IFERROR(__xludf.DUMMYFUNCTION("""COMPUTED_VALUE"""),"AAAI")</f>
        <v>AAAI</v>
      </c>
      <c r="B57" t="e">
        <f ca="1">COUNTIFS(Paper_Level_Summary!#REF!,A57)</f>
        <v>#REF!</v>
      </c>
    </row>
    <row r="58" spans="1:2" ht="13">
      <c r="A58" t="str">
        <f ca="1">IFERROR(__xludf.DUMMYFUNCTION("""COMPUTED_VALUE"""),"")</f>
        <v/>
      </c>
    </row>
    <row r="59" spans="1:2" ht="13"/>
    <row r="60" spans="1:2" ht="13"/>
    <row r="61" spans="1:2" ht="13"/>
    <row r="62" spans="1:2" ht="13"/>
    <row r="63" spans="1:2" ht="13"/>
    <row r="64" spans="1:2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  <row r="1001" ht="1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C4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34.1640625" customWidth="1"/>
  </cols>
  <sheetData>
    <row r="1" spans="1:3" ht="15.75" customHeight="1">
      <c r="A1" s="2" t="s">
        <v>433</v>
      </c>
      <c r="B1" s="2" t="s">
        <v>434</v>
      </c>
      <c r="C1" s="2" t="s">
        <v>435</v>
      </c>
    </row>
    <row r="2" spans="1:3" ht="15.75" customHeight="1">
      <c r="A2" s="30" t="s">
        <v>1134</v>
      </c>
      <c r="B2" t="e">
        <f t="shared" ref="B2:B42" ca="1" si="0">MD5(A2)</f>
        <v>#REF!</v>
      </c>
    </row>
    <row r="3" spans="1:3" ht="15.75" customHeight="1">
      <c r="A3" s="30" t="s">
        <v>1147</v>
      </c>
      <c r="B3" t="e">
        <f t="shared" ca="1" si="0"/>
        <v>#REF!</v>
      </c>
    </row>
    <row r="4" spans="1:3" ht="15.75" customHeight="1">
      <c r="A4" s="30" t="s">
        <v>1473</v>
      </c>
      <c r="B4" t="e">
        <f t="shared" ca="1" si="0"/>
        <v>#REF!</v>
      </c>
    </row>
    <row r="5" spans="1:3" ht="15.75" customHeight="1">
      <c r="A5" s="30" t="s">
        <v>1474</v>
      </c>
      <c r="B5" t="e">
        <f t="shared" ca="1" si="0"/>
        <v>#REF!</v>
      </c>
    </row>
    <row r="6" spans="1:3" ht="15.75" customHeight="1">
      <c r="A6" s="30" t="s">
        <v>1475</v>
      </c>
      <c r="B6" t="e">
        <f t="shared" ca="1" si="0"/>
        <v>#REF!</v>
      </c>
    </row>
    <row r="7" spans="1:3" ht="15.75" customHeight="1">
      <c r="A7" s="30" t="s">
        <v>1476</v>
      </c>
      <c r="B7" t="e">
        <f t="shared" ca="1" si="0"/>
        <v>#REF!</v>
      </c>
    </row>
    <row r="8" spans="1:3" ht="15.75" customHeight="1">
      <c r="A8" s="30" t="s">
        <v>1477</v>
      </c>
      <c r="B8" t="e">
        <f t="shared" ca="1" si="0"/>
        <v>#REF!</v>
      </c>
    </row>
    <row r="9" spans="1:3" ht="15.75" customHeight="1">
      <c r="A9" s="30" t="s">
        <v>1478</v>
      </c>
      <c r="B9" t="e">
        <f t="shared" ca="1" si="0"/>
        <v>#REF!</v>
      </c>
    </row>
    <row r="10" spans="1:3" ht="15.75" customHeight="1">
      <c r="A10" s="30" t="s">
        <v>1479</v>
      </c>
      <c r="B10" t="e">
        <f t="shared" ca="1" si="0"/>
        <v>#REF!</v>
      </c>
    </row>
    <row r="11" spans="1:3" ht="15.75" customHeight="1">
      <c r="A11" s="30" t="s">
        <v>1480</v>
      </c>
      <c r="B11" t="e">
        <f t="shared" ca="1" si="0"/>
        <v>#REF!</v>
      </c>
    </row>
    <row r="12" spans="1:3" ht="15.75" customHeight="1">
      <c r="A12" s="30" t="s">
        <v>1481</v>
      </c>
      <c r="B12" t="e">
        <f t="shared" ca="1" si="0"/>
        <v>#REF!</v>
      </c>
    </row>
    <row r="13" spans="1:3" ht="15.75" customHeight="1">
      <c r="A13" s="30" t="s">
        <v>1482</v>
      </c>
      <c r="B13" t="e">
        <f t="shared" ca="1" si="0"/>
        <v>#REF!</v>
      </c>
    </row>
    <row r="14" spans="1:3" ht="15.75" customHeight="1">
      <c r="A14" s="30" t="s">
        <v>1483</v>
      </c>
      <c r="B14" t="e">
        <f t="shared" ca="1" si="0"/>
        <v>#REF!</v>
      </c>
    </row>
    <row r="15" spans="1:3" ht="15.75" customHeight="1">
      <c r="A15" s="30" t="s">
        <v>1484</v>
      </c>
      <c r="B15" t="e">
        <f t="shared" ca="1" si="0"/>
        <v>#REF!</v>
      </c>
    </row>
    <row r="16" spans="1:3" ht="15.75" customHeight="1">
      <c r="A16" s="30" t="s">
        <v>1485</v>
      </c>
      <c r="B16" t="e">
        <f t="shared" ca="1" si="0"/>
        <v>#REF!</v>
      </c>
    </row>
    <row r="17" spans="1:2" ht="15.75" customHeight="1">
      <c r="A17" s="30" t="s">
        <v>1486</v>
      </c>
      <c r="B17" t="e">
        <f t="shared" ca="1" si="0"/>
        <v>#REF!</v>
      </c>
    </row>
    <row r="18" spans="1:2" ht="15.75" customHeight="1">
      <c r="A18" s="30" t="s">
        <v>1487</v>
      </c>
      <c r="B18" t="e">
        <f t="shared" ca="1" si="0"/>
        <v>#REF!</v>
      </c>
    </row>
    <row r="19" spans="1:2" ht="15.75" customHeight="1">
      <c r="A19" s="30" t="s">
        <v>1488</v>
      </c>
      <c r="B19" t="e">
        <f t="shared" ca="1" si="0"/>
        <v>#REF!</v>
      </c>
    </row>
    <row r="20" spans="1:2" ht="15.75" customHeight="1">
      <c r="A20" s="30" t="s">
        <v>1489</v>
      </c>
      <c r="B20" t="e">
        <f t="shared" ca="1" si="0"/>
        <v>#REF!</v>
      </c>
    </row>
    <row r="21" spans="1:2" ht="15.75" customHeight="1">
      <c r="A21" s="30" t="s">
        <v>1490</v>
      </c>
      <c r="B21" t="e">
        <f t="shared" ca="1" si="0"/>
        <v>#REF!</v>
      </c>
    </row>
    <row r="22" spans="1:2" ht="15.75" customHeight="1">
      <c r="A22" s="30" t="s">
        <v>1491</v>
      </c>
      <c r="B22" t="e">
        <f t="shared" ca="1" si="0"/>
        <v>#REF!</v>
      </c>
    </row>
    <row r="23" spans="1:2" ht="15.75" customHeight="1">
      <c r="A23" s="30" t="s">
        <v>1492</v>
      </c>
      <c r="B23" t="e">
        <f t="shared" ca="1" si="0"/>
        <v>#REF!</v>
      </c>
    </row>
    <row r="24" spans="1:2" ht="15.75" customHeight="1">
      <c r="A24" s="30" t="s">
        <v>1493</v>
      </c>
      <c r="B24" t="e">
        <f t="shared" ca="1" si="0"/>
        <v>#REF!</v>
      </c>
    </row>
    <row r="25" spans="1:2" ht="15.75" customHeight="1">
      <c r="A25" s="30" t="s">
        <v>1494</v>
      </c>
      <c r="B25" t="e">
        <f t="shared" ca="1" si="0"/>
        <v>#REF!</v>
      </c>
    </row>
    <row r="26" spans="1:2" ht="15.75" customHeight="1">
      <c r="A26" s="30" t="s">
        <v>1495</v>
      </c>
      <c r="B26" t="e">
        <f t="shared" ca="1" si="0"/>
        <v>#REF!</v>
      </c>
    </row>
    <row r="27" spans="1:2" ht="15.75" customHeight="1">
      <c r="A27" s="30" t="s">
        <v>1496</v>
      </c>
      <c r="B27" t="e">
        <f t="shared" ca="1" si="0"/>
        <v>#REF!</v>
      </c>
    </row>
    <row r="28" spans="1:2" ht="15.75" customHeight="1">
      <c r="A28" s="30" t="s">
        <v>1497</v>
      </c>
      <c r="B28" t="e">
        <f t="shared" ca="1" si="0"/>
        <v>#REF!</v>
      </c>
    </row>
    <row r="29" spans="1:2" ht="15.75" customHeight="1">
      <c r="A29" s="30" t="s">
        <v>1498</v>
      </c>
      <c r="B29" t="e">
        <f t="shared" ca="1" si="0"/>
        <v>#REF!</v>
      </c>
    </row>
    <row r="30" spans="1:2" ht="15.75" customHeight="1">
      <c r="A30" s="30" t="s">
        <v>1499</v>
      </c>
      <c r="B30" t="e">
        <f t="shared" ca="1" si="0"/>
        <v>#REF!</v>
      </c>
    </row>
    <row r="31" spans="1:2" ht="15.75" customHeight="1">
      <c r="A31" s="30" t="s">
        <v>1500</v>
      </c>
      <c r="B31" t="e">
        <f t="shared" ca="1" si="0"/>
        <v>#REF!</v>
      </c>
    </row>
    <row r="32" spans="1:2" ht="15.75" customHeight="1">
      <c r="A32" s="30" t="s">
        <v>1501</v>
      </c>
      <c r="B32" t="e">
        <f t="shared" ca="1" si="0"/>
        <v>#REF!</v>
      </c>
    </row>
    <row r="33" spans="1:2" ht="15.75" customHeight="1">
      <c r="A33" s="30" t="s">
        <v>1502</v>
      </c>
      <c r="B33" t="e">
        <f t="shared" ca="1" si="0"/>
        <v>#REF!</v>
      </c>
    </row>
    <row r="34" spans="1:2" ht="15.75" customHeight="1">
      <c r="A34" s="30" t="s">
        <v>1503</v>
      </c>
      <c r="B34" t="e">
        <f t="shared" ca="1" si="0"/>
        <v>#REF!</v>
      </c>
    </row>
    <row r="35" spans="1:2" ht="15.75" customHeight="1">
      <c r="A35" s="30" t="s">
        <v>1504</v>
      </c>
      <c r="B35" t="e">
        <f t="shared" ca="1" si="0"/>
        <v>#REF!</v>
      </c>
    </row>
    <row r="36" spans="1:2" ht="15.75" customHeight="1">
      <c r="A36" s="30" t="s">
        <v>1505</v>
      </c>
      <c r="B36" t="e">
        <f t="shared" ca="1" si="0"/>
        <v>#REF!</v>
      </c>
    </row>
    <row r="37" spans="1:2" ht="15.75" customHeight="1">
      <c r="A37" s="30" t="s">
        <v>1506</v>
      </c>
      <c r="B37" t="e">
        <f t="shared" ca="1" si="0"/>
        <v>#REF!</v>
      </c>
    </row>
    <row r="38" spans="1:2" ht="15.75" customHeight="1">
      <c r="A38" s="30" t="s">
        <v>1507</v>
      </c>
      <c r="B38" t="e">
        <f t="shared" ca="1" si="0"/>
        <v>#REF!</v>
      </c>
    </row>
    <row r="39" spans="1:2" ht="15.75" customHeight="1">
      <c r="A39" s="30" t="s">
        <v>1508</v>
      </c>
      <c r="B39" t="e">
        <f t="shared" ca="1" si="0"/>
        <v>#REF!</v>
      </c>
    </row>
    <row r="40" spans="1:2" ht="15.75" customHeight="1">
      <c r="A40" s="30" t="s">
        <v>1509</v>
      </c>
      <c r="B40" t="e">
        <f t="shared" ca="1" si="0"/>
        <v>#REF!</v>
      </c>
    </row>
    <row r="41" spans="1:2" ht="15.75" customHeight="1">
      <c r="A41" s="30" t="s">
        <v>1510</v>
      </c>
      <c r="B41" t="e">
        <f t="shared" ca="1" si="0"/>
        <v>#REF!</v>
      </c>
    </row>
    <row r="42" spans="1:2" ht="15.75" customHeight="1">
      <c r="A42" s="30" t="s">
        <v>1511</v>
      </c>
      <c r="B42" t="e">
        <f t="shared" ca="1" si="0"/>
        <v>#REF!</v>
      </c>
    </row>
  </sheetData>
  <hyperlinks>
    <hyperlink ref="A2" r:id="rId1" xr:uid="{00000000-0004-0000-1200-000000000000}"/>
    <hyperlink ref="A3" r:id="rId2" xr:uid="{00000000-0004-0000-1200-000001000000}"/>
    <hyperlink ref="A4" r:id="rId3" xr:uid="{00000000-0004-0000-1200-000002000000}"/>
    <hyperlink ref="A5" r:id="rId4" xr:uid="{00000000-0004-0000-1200-000003000000}"/>
    <hyperlink ref="A6" r:id="rId5" xr:uid="{00000000-0004-0000-1200-000004000000}"/>
    <hyperlink ref="A7" r:id="rId6" xr:uid="{00000000-0004-0000-1200-000005000000}"/>
    <hyperlink ref="A8" r:id="rId7" xr:uid="{00000000-0004-0000-1200-000006000000}"/>
    <hyperlink ref="A9" r:id="rId8" xr:uid="{00000000-0004-0000-1200-000007000000}"/>
    <hyperlink ref="A10" r:id="rId9" xr:uid="{00000000-0004-0000-1200-000008000000}"/>
    <hyperlink ref="A11" r:id="rId10" xr:uid="{00000000-0004-0000-1200-000009000000}"/>
    <hyperlink ref="A12" r:id="rId11" xr:uid="{00000000-0004-0000-1200-00000A000000}"/>
    <hyperlink ref="A13" r:id="rId12" xr:uid="{00000000-0004-0000-1200-00000B000000}"/>
    <hyperlink ref="A14" r:id="rId13" xr:uid="{00000000-0004-0000-1200-00000C000000}"/>
    <hyperlink ref="A15" r:id="rId14" xr:uid="{00000000-0004-0000-1200-00000D000000}"/>
    <hyperlink ref="A16" r:id="rId15" xr:uid="{00000000-0004-0000-1200-00000E000000}"/>
    <hyperlink ref="A17" r:id="rId16" xr:uid="{00000000-0004-0000-1200-00000F000000}"/>
    <hyperlink ref="A18" r:id="rId17" xr:uid="{00000000-0004-0000-1200-000010000000}"/>
    <hyperlink ref="A19" r:id="rId18" xr:uid="{00000000-0004-0000-1200-000011000000}"/>
    <hyperlink ref="A20" r:id="rId19" xr:uid="{00000000-0004-0000-1200-000012000000}"/>
    <hyperlink ref="A21" r:id="rId20" xr:uid="{00000000-0004-0000-1200-000013000000}"/>
    <hyperlink ref="A22" r:id="rId21" xr:uid="{00000000-0004-0000-1200-000014000000}"/>
    <hyperlink ref="A23" r:id="rId22" xr:uid="{00000000-0004-0000-1200-000015000000}"/>
    <hyperlink ref="A24" r:id="rId23" xr:uid="{00000000-0004-0000-1200-000016000000}"/>
    <hyperlink ref="A25" r:id="rId24" xr:uid="{00000000-0004-0000-1200-000017000000}"/>
    <hyperlink ref="A26" r:id="rId25" xr:uid="{00000000-0004-0000-1200-000018000000}"/>
    <hyperlink ref="A27" r:id="rId26" xr:uid="{00000000-0004-0000-1200-000019000000}"/>
    <hyperlink ref="A28" r:id="rId27" xr:uid="{00000000-0004-0000-1200-00001A000000}"/>
    <hyperlink ref="A29" r:id="rId28" xr:uid="{00000000-0004-0000-1200-00001B000000}"/>
    <hyperlink ref="A30" r:id="rId29" xr:uid="{00000000-0004-0000-1200-00001C000000}"/>
    <hyperlink ref="A31" r:id="rId30" xr:uid="{00000000-0004-0000-1200-00001D000000}"/>
    <hyperlink ref="A32" r:id="rId31" xr:uid="{00000000-0004-0000-1200-00001E000000}"/>
    <hyperlink ref="A33" r:id="rId32" xr:uid="{00000000-0004-0000-1200-00001F000000}"/>
    <hyperlink ref="A34" r:id="rId33" xr:uid="{00000000-0004-0000-1200-000020000000}"/>
    <hyperlink ref="A35" r:id="rId34" xr:uid="{00000000-0004-0000-1200-000021000000}"/>
    <hyperlink ref="A36" r:id="rId35" xr:uid="{00000000-0004-0000-1200-000022000000}"/>
    <hyperlink ref="A37" r:id="rId36" xr:uid="{00000000-0004-0000-1200-000023000000}"/>
    <hyperlink ref="A38" r:id="rId37" xr:uid="{00000000-0004-0000-1200-000024000000}"/>
    <hyperlink ref="A39" r:id="rId38" xr:uid="{00000000-0004-0000-1200-000025000000}"/>
    <hyperlink ref="A40" r:id="rId39" xr:uid="{00000000-0004-0000-1200-000026000000}"/>
    <hyperlink ref="A41" r:id="rId40" xr:uid="{00000000-0004-0000-1200-000027000000}"/>
    <hyperlink ref="A42" r:id="rId41" xr:uid="{00000000-0004-0000-12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Papers</vt:lpstr>
      <vt:lpstr>Rubric</vt:lpstr>
      <vt:lpstr>Annotated Papers</vt:lpstr>
      <vt:lpstr>Paper_Level_Summary</vt:lpstr>
      <vt:lpstr>Copy of Paper_Level_Summary</vt:lpstr>
      <vt:lpstr>Domain_Source_Summary</vt:lpstr>
      <vt:lpstr>NeurIPS NLP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Nikki Marinsek</cp:lastModifiedBy>
  <dcterms:created xsi:type="dcterms:W3CDTF">2019-05-05T16:12:34Z</dcterms:created>
  <dcterms:modified xsi:type="dcterms:W3CDTF">2019-05-05T16:26:00Z</dcterms:modified>
</cp:coreProperties>
</file>