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an\GitHub\in-work\ccp2018\data\"/>
    </mc:Choice>
  </mc:AlternateContent>
  <xr:revisionPtr revIDLastSave="0" documentId="13_ncr:1_{0FAA379E-5C20-4F61-B4E2-4342EC4B2DB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10" sheetId="2" r:id="rId1"/>
    <sheet name="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2" l="1"/>
  <c r="I35" i="2" s="1"/>
  <c r="J35" i="2" s="1"/>
  <c r="H34" i="2"/>
  <c r="B34" i="2"/>
  <c r="C28" i="2"/>
  <c r="C27" i="2"/>
  <c r="C26" i="2"/>
  <c r="C25" i="2"/>
  <c r="C24" i="2"/>
  <c r="C17" i="2"/>
  <c r="C15" i="2"/>
  <c r="D13" i="2" s="1"/>
  <c r="L14" i="2"/>
  <c r="E14" i="2"/>
  <c r="L13" i="2"/>
  <c r="N13" i="2" s="1"/>
  <c r="E13" i="2"/>
  <c r="L12" i="2"/>
  <c r="N12" i="2" s="1"/>
  <c r="E12" i="2"/>
  <c r="D12" i="2"/>
  <c r="L11" i="2"/>
  <c r="E11" i="2"/>
  <c r="D11" i="2" l="1"/>
  <c r="D14" i="2"/>
  <c r="L15" i="2"/>
  <c r="M11" i="2" s="1"/>
  <c r="I34" i="2"/>
  <c r="M14" i="2"/>
  <c r="J34" i="2"/>
  <c r="H39" i="2" s="1"/>
  <c r="I36" i="2"/>
  <c r="I37" i="2" s="1"/>
  <c r="B35" i="2"/>
  <c r="C35" i="2" s="1"/>
  <c r="N14" i="2"/>
  <c r="C34" i="2"/>
  <c r="H38" i="2"/>
  <c r="N11" i="2"/>
  <c r="E12" i="1"/>
  <c r="H35" i="1"/>
  <c r="H34" i="1"/>
  <c r="B34" i="1"/>
  <c r="C28" i="1"/>
  <c r="C27" i="1"/>
  <c r="C26" i="1"/>
  <c r="C25" i="1"/>
  <c r="C24" i="1"/>
  <c r="C15" i="1"/>
  <c r="D13" i="1" s="1"/>
  <c r="L14" i="1"/>
  <c r="E14" i="1"/>
  <c r="L13" i="1"/>
  <c r="E13" i="1"/>
  <c r="L12" i="1"/>
  <c r="L11" i="1"/>
  <c r="E11" i="1"/>
  <c r="B38" i="2" l="1"/>
  <c r="M12" i="2"/>
  <c r="M13" i="2"/>
  <c r="N35" i="2"/>
  <c r="D34" i="2"/>
  <c r="N36" i="2"/>
  <c r="O36" i="2" s="1"/>
  <c r="C36" i="2"/>
  <c r="N38" i="2"/>
  <c r="D35" i="2"/>
  <c r="N37" i="2"/>
  <c r="O37" i="2" s="1"/>
  <c r="E25" i="2"/>
  <c r="N14" i="1"/>
  <c r="L15" i="1"/>
  <c r="M11" i="1" s="1"/>
  <c r="C34" i="1"/>
  <c r="I34" i="1"/>
  <c r="J34" i="1" s="1"/>
  <c r="D12" i="1"/>
  <c r="C17" i="1"/>
  <c r="B35" i="1"/>
  <c r="C35" i="1" s="1"/>
  <c r="E25" i="1" s="1"/>
  <c r="N12" i="1"/>
  <c r="I35" i="1"/>
  <c r="J35" i="1" s="1"/>
  <c r="D11" i="1"/>
  <c r="D14" i="1"/>
  <c r="N11" i="1"/>
  <c r="I36" i="1"/>
  <c r="I37" i="1" s="1"/>
  <c r="N13" i="1"/>
  <c r="H38" i="1"/>
  <c r="O38" i="2" l="1"/>
  <c r="N41" i="2"/>
  <c r="B39" i="2"/>
  <c r="P37" i="2"/>
  <c r="F13" i="2"/>
  <c r="H13" i="2" s="1"/>
  <c r="C37" i="2"/>
  <c r="C20" i="2" s="1"/>
  <c r="C21" i="2" s="1"/>
  <c r="C18" i="2"/>
  <c r="C19" i="2"/>
  <c r="P36" i="2"/>
  <c r="F12" i="2"/>
  <c r="H12" i="2" s="1"/>
  <c r="N39" i="2"/>
  <c r="O35" i="2"/>
  <c r="B38" i="1"/>
  <c r="N35" i="1"/>
  <c r="O35" i="1" s="1"/>
  <c r="H39" i="1"/>
  <c r="N37" i="1"/>
  <c r="O37" i="1" s="1"/>
  <c r="P37" i="1" s="1"/>
  <c r="D35" i="1"/>
  <c r="M12" i="1"/>
  <c r="M13" i="1"/>
  <c r="C36" i="1"/>
  <c r="C37" i="1" s="1"/>
  <c r="C20" i="1" s="1"/>
  <c r="C21" i="1" s="1"/>
  <c r="M14" i="1"/>
  <c r="D34" i="1"/>
  <c r="N36" i="1"/>
  <c r="O36" i="1" s="1"/>
  <c r="P36" i="1" s="1"/>
  <c r="N38" i="1"/>
  <c r="O38" i="1" s="1"/>
  <c r="F11" i="2" l="1"/>
  <c r="P35" i="2"/>
  <c r="F14" i="2"/>
  <c r="H14" i="2" s="1"/>
  <c r="P38" i="2"/>
  <c r="B39" i="1"/>
  <c r="F13" i="1"/>
  <c r="H13" i="1" s="1"/>
  <c r="N39" i="1"/>
  <c r="C18" i="1"/>
  <c r="C19" i="1"/>
  <c r="N41" i="1"/>
  <c r="F12" i="1"/>
  <c r="H12" i="1" s="1"/>
  <c r="P35" i="1"/>
  <c r="F11" i="1"/>
  <c r="P38" i="1"/>
  <c r="F14" i="1"/>
  <c r="H14" i="1" s="1"/>
  <c r="B41" i="2" l="1"/>
  <c r="H11" i="2"/>
  <c r="H15" i="2" s="1"/>
  <c r="H11" i="1"/>
  <c r="H15" i="1" s="1"/>
  <c r="B41" i="1"/>
  <c r="B43" i="2" l="1"/>
  <c r="B42" i="2"/>
  <c r="B43" i="1"/>
  <c r="B42" i="1"/>
</calcChain>
</file>

<file path=xl/sharedStrings.xml><?xml version="1.0" encoding="utf-8"?>
<sst xmlns="http://schemas.openxmlformats.org/spreadsheetml/2006/main" count="126" uniqueCount="44">
  <si>
    <t>Concept</t>
  </si>
  <si>
    <t>Classifier</t>
  </si>
  <si>
    <t>Dataset</t>
  </si>
  <si>
    <t>Description</t>
  </si>
  <si>
    <t>Model file</t>
  </si>
  <si>
    <t>Date</t>
  </si>
  <si>
    <t>Remarks</t>
  </si>
  <si>
    <t>Distribution By Concept</t>
  </si>
  <si>
    <t>Distribution by prediction</t>
  </si>
  <si>
    <t>#Cases</t>
  </si>
  <si>
    <t>Percent</t>
  </si>
  <si>
    <t>Concept based Percent</t>
  </si>
  <si>
    <t>Point wise MI</t>
  </si>
  <si>
    <t>Weights</t>
  </si>
  <si>
    <t>Weighted MI</t>
  </si>
  <si>
    <t>Classifier based Percent</t>
  </si>
  <si>
    <t>Accuracy</t>
  </si>
  <si>
    <t>Lift over majority</t>
  </si>
  <si>
    <t>Lift over independent</t>
  </si>
  <si>
    <t>Confidence Interval LB (95%)</t>
  </si>
  <si>
    <t>LB times confidence</t>
  </si>
  <si>
    <t>Recall( TPR)</t>
  </si>
  <si>
    <t>Precision</t>
  </si>
  <si>
    <t>Precision Lift</t>
  </si>
  <si>
    <t>FPR</t>
  </si>
  <si>
    <t>Jaccard</t>
  </si>
  <si>
    <t>NPV</t>
  </si>
  <si>
    <t>Concept distribution</t>
  </si>
  <si>
    <t>Classifier distribution</t>
  </si>
  <si>
    <t>Independent distribution</t>
  </si>
  <si>
    <t>EntTerm</t>
  </si>
  <si>
    <t>Majority</t>
  </si>
  <si>
    <t>STD</t>
  </si>
  <si>
    <t>Sum</t>
  </si>
  <si>
    <t>Read CSV</t>
  </si>
  <si>
    <t>Entropy</t>
  </si>
  <si>
    <t>MI</t>
  </si>
  <si>
    <t>Independent precision</t>
  </si>
  <si>
    <t>MI per Concept Entropy</t>
  </si>
  <si>
    <t>MI per prediction entropy</t>
  </si>
  <si>
    <t>first_project_better by 10 commits</t>
  </si>
  <si>
    <t>Same user better</t>
  </si>
  <si>
    <t>first_project_better</t>
  </si>
  <si>
    <t>Same user better by 10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</si>
</sst>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4" x14ac:knownFonts="1">
    <font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 applyAlignment="1">
      <alignment wrapText="1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/>
    <xf numFmtId="0" fontId="0" fillId="0" borderId="0" xfId="0" applyFont="1" applyAlignment="1"/>
    <xf numFmtId="0" fontId="2" fillId="0" borderId="0" xfId="0" applyFont="1" applyAlignment="1"/>
    <xf numFmtId="165" fontId="0" fillId="0" borderId="0" xfId="0" applyNumberFormat="1" applyFont="1" applyAlignment="1">
      <alignment horizontal="right"/>
    </xf>
    <xf numFmtId="10" fontId="0" fillId="0" borderId="0" xfId="0" applyNumberFormat="1" applyFont="1"/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DDF-1A35-46BC-B2E7-E283E89EEC23}">
  <sheetPr>
    <outlinePr summaryBelow="0" summaryRight="0"/>
  </sheetPr>
  <dimension ref="A1:Z43"/>
  <sheetViews>
    <sheetView tabSelected="1" topLeftCell="A4" workbookViewId="0">
      <selection activeCell="F11" sqref="F11"/>
    </sheetView>
  </sheetViews>
  <sheetFormatPr defaultColWidth="12.59765625" defaultRowHeight="15" customHeight="1" x14ac:dyDescent="0.25"/>
  <cols>
    <col min="1" max="1" width="25" style="7" customWidth="1"/>
    <col min="2" max="2" width="14.19921875" style="7" customWidth="1"/>
    <col min="3" max="3" width="10.69921875" style="7" customWidth="1"/>
    <col min="4" max="4" width="14.5" style="7" customWidth="1"/>
    <col min="5" max="5" width="20.5" style="7" customWidth="1"/>
    <col min="6" max="6" width="11.5" style="7" customWidth="1"/>
    <col min="7" max="7" width="18.59765625" style="7" customWidth="1"/>
    <col min="8" max="8" width="9.8984375" style="7" customWidth="1"/>
    <col min="9" max="11" width="8.59765625" style="7" customWidth="1"/>
    <col min="12" max="12" width="10.69921875" style="7" customWidth="1"/>
    <col min="13" max="13" width="8.59765625" style="7" customWidth="1"/>
    <col min="14" max="14" width="9.8984375" style="7" customWidth="1"/>
    <col min="15" max="26" width="8.59765625" style="7" customWidth="1"/>
    <col min="27" max="16384" width="12.59765625" style="7"/>
  </cols>
  <sheetData>
    <row r="1" spans="1:26" ht="14.25" customHeight="1" x14ac:dyDescent="0.25">
      <c r="A1" s="1" t="s">
        <v>0</v>
      </c>
      <c r="B1" s="13" t="s">
        <v>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1</v>
      </c>
      <c r="B2" s="1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0</v>
      </c>
      <c r="B11" s="1">
        <v>0</v>
      </c>
      <c r="C11" s="11">
        <v>7485189</v>
      </c>
      <c r="D11" s="3">
        <f t="shared" ref="D11:D14" si="0">C11/$C$15</f>
        <v>0.36702044877450629</v>
      </c>
      <c r="E11" s="3">
        <f>C11/($C$11+$C$12)</f>
        <v>0.59252192097643253</v>
      </c>
      <c r="F11" s="1">
        <f t="shared" ref="F11:F14" si="1">IF(ISERR(D11*LOG(D11/O35,2)),0,D11*LOG(D11/O35,2))</f>
        <v>2.7781113033355575E-2</v>
      </c>
      <c r="G11" s="1">
        <v>1</v>
      </c>
      <c r="H11" s="1">
        <f t="shared" ref="H11:H14" si="2">G11*F11</f>
        <v>2.7781113033355575E-2</v>
      </c>
      <c r="I11" s="1"/>
      <c r="J11" s="1">
        <v>0</v>
      </c>
      <c r="K11" s="1">
        <v>0</v>
      </c>
      <c r="L11" s="4">
        <f>C11</f>
        <v>7485189</v>
      </c>
      <c r="M11" s="3">
        <f t="shared" ref="M11:M14" si="3">L11/$L$15</f>
        <v>0.36702044877450629</v>
      </c>
      <c r="N11" s="3">
        <f t="shared" ref="N11:N12" si="4">L11/($L$12+$L$11)</f>
        <v>0.65278759865695724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0</v>
      </c>
      <c r="B12" s="1">
        <v>1</v>
      </c>
      <c r="C12" s="11">
        <v>5147574</v>
      </c>
      <c r="D12" s="3">
        <f t="shared" si="0"/>
        <v>0.25240042964579523</v>
      </c>
      <c r="E12" s="5">
        <f>C12/($C$11+$C$12)</f>
        <v>0.40747807902356753</v>
      </c>
      <c r="F12" s="1">
        <f t="shared" si="1"/>
        <v>-2.6106300910537412E-2</v>
      </c>
      <c r="G12" s="1">
        <v>1</v>
      </c>
      <c r="H12" s="1">
        <f t="shared" si="2"/>
        <v>-2.6106300910537412E-2</v>
      </c>
      <c r="I12" s="1"/>
      <c r="J12" s="1">
        <v>0</v>
      </c>
      <c r="K12" s="1">
        <v>1</v>
      </c>
      <c r="L12" s="4">
        <f>C13</f>
        <v>3981311</v>
      </c>
      <c r="M12" s="3">
        <f t="shared" si="3"/>
        <v>0.19521518427001353</v>
      </c>
      <c r="N12" s="3">
        <f t="shared" si="4"/>
        <v>0.34721240134304276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</v>
      </c>
      <c r="B13" s="1">
        <v>0</v>
      </c>
      <c r="C13" s="11">
        <v>3981311</v>
      </c>
      <c r="D13" s="3">
        <f t="shared" si="0"/>
        <v>0.19521518427001353</v>
      </c>
      <c r="E13" s="3">
        <f t="shared" ref="E13:E14" si="5">C13/($C$13+$C$14)</f>
        <v>0.51294244271656086</v>
      </c>
      <c r="F13" s="1">
        <f t="shared" si="1"/>
        <v>-2.584218411377677E-2</v>
      </c>
      <c r="G13" s="1">
        <v>1</v>
      </c>
      <c r="H13" s="1">
        <f t="shared" si="2"/>
        <v>-2.584218411377677E-2</v>
      </c>
      <c r="I13" s="1"/>
      <c r="J13" s="1">
        <v>1</v>
      </c>
      <c r="K13" s="1">
        <v>0</v>
      </c>
      <c r="L13" s="4">
        <f>C12</f>
        <v>5147574</v>
      </c>
      <c r="M13" s="3">
        <f t="shared" si="3"/>
        <v>0.25240042964579523</v>
      </c>
      <c r="N13" s="3">
        <f t="shared" ref="N13:N14" si="6">L13/($L$14+$L$13)</f>
        <v>0.57656686724222095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1</v>
      </c>
      <c r="B14" s="1">
        <v>1</v>
      </c>
      <c r="C14" s="11">
        <v>3780400</v>
      </c>
      <c r="D14" s="3">
        <f t="shared" si="0"/>
        <v>0.18536393730968498</v>
      </c>
      <c r="E14" s="3">
        <f t="shared" si="5"/>
        <v>0.48705755728343919</v>
      </c>
      <c r="F14" s="1">
        <f t="shared" si="1"/>
        <v>2.8534506241625766E-2</v>
      </c>
      <c r="G14" s="1">
        <v>1</v>
      </c>
      <c r="H14" s="1">
        <f t="shared" si="2"/>
        <v>2.8534506241625766E-2</v>
      </c>
      <c r="I14" s="1"/>
      <c r="J14" s="1">
        <v>1</v>
      </c>
      <c r="K14" s="1">
        <v>1</v>
      </c>
      <c r="L14" s="4">
        <f>C14</f>
        <v>3780400</v>
      </c>
      <c r="M14" s="3">
        <f t="shared" si="3"/>
        <v>0.18536393730968498</v>
      </c>
      <c r="N14" s="3">
        <f t="shared" si="6"/>
        <v>0.42343313275777911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4">
        <f>SUM(C11:C14)</f>
        <v>20394474</v>
      </c>
      <c r="D15" s="1"/>
      <c r="E15" s="1"/>
      <c r="F15" s="1"/>
      <c r="G15" s="1" t="s">
        <v>14</v>
      </c>
      <c r="H15" s="1">
        <f>SUM(H11:H14)</f>
        <v>4.3671342506671589E-3</v>
      </c>
      <c r="I15" s="1"/>
      <c r="J15" s="1"/>
      <c r="K15" s="1"/>
      <c r="L15" s="4">
        <f>SUM(L11:L14)</f>
        <v>20394474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 t="s">
        <v>16</v>
      </c>
      <c r="B17" s="1"/>
      <c r="C17" s="3">
        <f>(C11+C14)/C15</f>
        <v>0.55238438608419127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 t="s">
        <v>17</v>
      </c>
      <c r="B18" s="1"/>
      <c r="C18" s="3">
        <f>(C17/C36)-1</f>
        <v>-0.10822446364267257</v>
      </c>
      <c r="D18" s="1"/>
      <c r="E18" s="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 t="s">
        <v>18</v>
      </c>
      <c r="B19" s="1"/>
      <c r="C19" s="3">
        <f>(C17/(C36*C36))-1</f>
        <v>0.43969240854716984</v>
      </c>
      <c r="D19" s="1"/>
      <c r="E19" s="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19</v>
      </c>
      <c r="B20" s="1"/>
      <c r="C20" s="3">
        <f>C17-(1.96*C37/SQRT(C15))</f>
        <v>0.55228207313202504</v>
      </c>
      <c r="D20" s="1"/>
      <c r="E20" s="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 t="s">
        <v>20</v>
      </c>
      <c r="B21" s="1"/>
      <c r="C21" s="3">
        <f>C20*0.95</f>
        <v>0.52466796947542371</v>
      </c>
      <c r="D21" s="1"/>
      <c r="E21" s="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21</v>
      </c>
      <c r="B24" s="1"/>
      <c r="C24" s="3">
        <f>C14/(C14+C13)</f>
        <v>0.48705755728343919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 t="s">
        <v>22</v>
      </c>
      <c r="B25" s="1"/>
      <c r="C25" s="3">
        <f>C14/(C14+C12)</f>
        <v>0.42343313275777911</v>
      </c>
      <c r="D25" s="1" t="s">
        <v>23</v>
      </c>
      <c r="E25" s="6">
        <f>(C25/C35)-1</f>
        <v>0.11260210754652866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 t="s">
        <v>24</v>
      </c>
      <c r="B26" s="1"/>
      <c r="C26" s="3">
        <f>C12/(C12+C11)</f>
        <v>0.40747807902356753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25</v>
      </c>
      <c r="B27" s="1"/>
      <c r="C27" s="3">
        <f>C14/(C14+C13+C12)</f>
        <v>0.29284348436028795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7" t="s">
        <v>26</v>
      </c>
      <c r="B28" s="8"/>
      <c r="C28" s="9">
        <f>C11/(C11+C12)</f>
        <v>0.59252192097643253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0</v>
      </c>
      <c r="B34" s="4">
        <f>C11+C12</f>
        <v>12632763</v>
      </c>
      <c r="C34" s="3">
        <f t="shared" ref="C34:C35" si="7">B34/$C$15</f>
        <v>0.61942087842030147</v>
      </c>
      <c r="D34" s="1">
        <f t="shared" ref="D34:D35" si="8">-C34*LOG(C34,2)</f>
        <v>0.42802483380664563</v>
      </c>
      <c r="E34" s="1"/>
      <c r="F34" s="1"/>
      <c r="G34" s="1">
        <v>0</v>
      </c>
      <c r="H34" s="4">
        <f t="shared" ref="H34:H35" si="9">C11+C13</f>
        <v>11466500</v>
      </c>
      <c r="I34" s="3">
        <f t="shared" ref="I34:I35" si="10">H34/$C$15</f>
        <v>0.56223563304451984</v>
      </c>
      <c r="J34" s="1">
        <f t="shared" ref="J34:J35" si="11">-I34*LOG(I34,2)</f>
        <v>0.467079053543629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1</v>
      </c>
      <c r="B35" s="4">
        <f>C15-B34</f>
        <v>7761711</v>
      </c>
      <c r="C35" s="3">
        <f t="shared" si="7"/>
        <v>0.38057912157969848</v>
      </c>
      <c r="D35" s="1">
        <f t="shared" si="8"/>
        <v>0.53042517726852612</v>
      </c>
      <c r="E35" s="1"/>
      <c r="F35" s="1"/>
      <c r="G35" s="1">
        <v>1</v>
      </c>
      <c r="H35" s="4">
        <f t="shared" si="9"/>
        <v>8927974</v>
      </c>
      <c r="I35" s="3">
        <f t="shared" si="10"/>
        <v>0.43776436695548021</v>
      </c>
      <c r="J35" s="1">
        <f t="shared" si="11"/>
        <v>0.52171600144153008</v>
      </c>
      <c r="K35" s="1"/>
      <c r="L35" s="1">
        <v>0</v>
      </c>
      <c r="M35" s="1">
        <v>0</v>
      </c>
      <c r="N35" s="4">
        <f>C34*I34*$C$15</f>
        <v>7102589.5024063867</v>
      </c>
      <c r="O35" s="3">
        <f t="shared" ref="O35:O38" si="12">N35/$C$15</f>
        <v>0.34826048969963075</v>
      </c>
      <c r="P35" s="3">
        <f t="shared" ref="P35:P38" si="13">O35*G11</f>
        <v>0.34826048969963075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31</v>
      </c>
      <c r="B36" s="4"/>
      <c r="C36" s="3">
        <f>MAX(C34,C35)</f>
        <v>0.61942087842030147</v>
      </c>
      <c r="D36" s="1"/>
      <c r="E36" s="1"/>
      <c r="F36" s="1"/>
      <c r="G36" s="1" t="s">
        <v>31</v>
      </c>
      <c r="H36" s="4"/>
      <c r="I36" s="3">
        <f>MAX(I34,I35)</f>
        <v>0.56223563304451984</v>
      </c>
      <c r="J36" s="1"/>
      <c r="K36" s="1"/>
      <c r="L36" s="1">
        <v>0</v>
      </c>
      <c r="M36" s="1">
        <v>1</v>
      </c>
      <c r="N36" s="4">
        <f>C34*I35*$C$15</f>
        <v>5530173.4975936124</v>
      </c>
      <c r="O36" s="3">
        <f t="shared" si="12"/>
        <v>0.27116038872067072</v>
      </c>
      <c r="P36" s="3">
        <f t="shared" si="13"/>
        <v>0.27116038872067072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32</v>
      </c>
      <c r="B37" s="4"/>
      <c r="C37" s="1">
        <f>C36*(1-C36)</f>
        <v>0.23573865379732359</v>
      </c>
      <c r="D37" s="1"/>
      <c r="E37" s="1"/>
      <c r="F37" s="1"/>
      <c r="G37" s="1" t="s">
        <v>32</v>
      </c>
      <c r="H37" s="4"/>
      <c r="I37" s="1">
        <f>I36*(1-I36)</f>
        <v>0.24612672597954788</v>
      </c>
      <c r="J37" s="1"/>
      <c r="K37" s="1"/>
      <c r="L37" s="1">
        <v>1</v>
      </c>
      <c r="M37" s="1">
        <v>0</v>
      </c>
      <c r="N37" s="4">
        <f>C35*I34*$C$15</f>
        <v>4363910.4975936133</v>
      </c>
      <c r="O37" s="3">
        <f t="shared" si="12"/>
        <v>0.21397514334488907</v>
      </c>
      <c r="P37" s="3">
        <f t="shared" si="13"/>
        <v>0.21397514334488907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 t="s">
        <v>33</v>
      </c>
      <c r="B38" s="4">
        <f>SUM(B34:B35)</f>
        <v>20394474</v>
      </c>
      <c r="C38" s="1"/>
      <c r="D38" s="1"/>
      <c r="E38" s="1"/>
      <c r="F38" s="1"/>
      <c r="G38" s="1" t="s">
        <v>34</v>
      </c>
      <c r="H38" s="4">
        <f>SUM(H34:H35)</f>
        <v>20394474</v>
      </c>
      <c r="I38" s="1"/>
      <c r="J38" s="1"/>
      <c r="K38" s="1"/>
      <c r="L38" s="1">
        <v>1</v>
      </c>
      <c r="M38" s="1">
        <v>1</v>
      </c>
      <c r="N38" s="4">
        <f>C35*I35*$C$15</f>
        <v>3397800.5024063871</v>
      </c>
      <c r="O38" s="3">
        <f t="shared" si="12"/>
        <v>0.16660397823480944</v>
      </c>
      <c r="P38" s="3">
        <f t="shared" si="13"/>
        <v>0.16660397823480944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 t="s">
        <v>35</v>
      </c>
      <c r="B39" s="1">
        <f>SUM(D34:D35)</f>
        <v>0.95845001107517169</v>
      </c>
      <c r="C39" s="1"/>
      <c r="D39" s="1"/>
      <c r="E39" s="1"/>
      <c r="F39" s="1"/>
      <c r="G39" s="1" t="s">
        <v>35</v>
      </c>
      <c r="H39" s="1">
        <f>SUM(J34:J35)</f>
        <v>0.98879505498515907</v>
      </c>
      <c r="I39" s="1"/>
      <c r="J39" s="1"/>
      <c r="K39" s="1"/>
      <c r="L39" s="1"/>
      <c r="M39" s="1"/>
      <c r="N39" s="4">
        <f>SUM(N35:N38)</f>
        <v>20394474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 t="s">
        <v>36</v>
      </c>
      <c r="B41" s="1">
        <f>SUM(F11:F14)</f>
        <v>4.3671342506671589E-3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0.38057912157969848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38</v>
      </c>
      <c r="B42" s="10">
        <f>B41/B39</f>
        <v>4.5564549013549357E-3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39</v>
      </c>
      <c r="B43" s="10">
        <f>B41/H39</f>
        <v>4.4166222602445215E-3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3"/>
  <sheetViews>
    <sheetView workbookViewId="0">
      <selection activeCell="E20" sqref="E20"/>
    </sheetView>
  </sheetViews>
  <sheetFormatPr defaultColWidth="12.59765625" defaultRowHeight="15" customHeight="1" x14ac:dyDescent="0.25"/>
  <cols>
    <col min="1" max="1" width="25" customWidth="1"/>
    <col min="2" max="2" width="14.19921875" customWidth="1"/>
    <col min="3" max="3" width="10.69921875" customWidth="1"/>
    <col min="4" max="4" width="14.5" customWidth="1"/>
    <col min="5" max="5" width="20.5" customWidth="1"/>
    <col min="6" max="6" width="11.5" customWidth="1"/>
    <col min="7" max="7" width="18.59765625" customWidth="1"/>
    <col min="8" max="8" width="9.8984375" customWidth="1"/>
    <col min="9" max="11" width="8.59765625" customWidth="1"/>
    <col min="12" max="12" width="10.69921875" customWidth="1"/>
    <col min="13" max="13" width="8.59765625" customWidth="1"/>
    <col min="14" max="14" width="9.8984375" customWidth="1"/>
    <col min="15" max="26" width="8.59765625" customWidth="1"/>
  </cols>
  <sheetData>
    <row r="1" spans="1:26" ht="14.25" customHeight="1" x14ac:dyDescent="0.25">
      <c r="A1" s="1" t="s">
        <v>0</v>
      </c>
      <c r="B1" s="13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1</v>
      </c>
      <c r="B2" s="1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0</v>
      </c>
      <c r="B11" s="1">
        <v>0</v>
      </c>
      <c r="C11" s="11">
        <v>5806470</v>
      </c>
      <c r="D11" s="3">
        <f t="shared" ref="D11:D14" si="0">C11/$C$15</f>
        <v>0.28470800472716284</v>
      </c>
      <c r="E11" s="3">
        <f>C11/($C$11+$C$12)</f>
        <v>0.5384662965095538</v>
      </c>
      <c r="F11" s="1">
        <f t="shared" ref="F11:F14" si="1">IF(ISERR(D11*LOG(D11/O35,2)),0,D11*LOG(D11/O35,2))</f>
        <v>2.8950476453342904E-2</v>
      </c>
      <c r="G11" s="1">
        <v>1</v>
      </c>
      <c r="H11" s="1">
        <f t="shared" ref="H11:H14" si="2">G11*F11</f>
        <v>2.8950476453342904E-2</v>
      </c>
      <c r="I11" s="1"/>
      <c r="J11" s="1">
        <v>0</v>
      </c>
      <c r="K11" s="1">
        <v>0</v>
      </c>
      <c r="L11" s="4">
        <f>C11</f>
        <v>5806470</v>
      </c>
      <c r="M11" s="3">
        <f t="shared" ref="M11:M14" si="3">L11/$L$15</f>
        <v>0.28470800472716284</v>
      </c>
      <c r="N11" s="3">
        <f t="shared" ref="N11:N12" si="4">L11/($L$12+$L$11)</f>
        <v>0.56735035025136882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0</v>
      </c>
      <c r="B12" s="1">
        <v>1</v>
      </c>
      <c r="C12" s="11">
        <v>4976879</v>
      </c>
      <c r="D12" s="3">
        <f t="shared" si="0"/>
        <v>0.24403076048933647</v>
      </c>
      <c r="E12" s="5">
        <f>C12/($C$11+$C$12)</f>
        <v>0.46153370349044626</v>
      </c>
      <c r="F12" s="1">
        <f t="shared" si="1"/>
        <v>-2.6899465220834085E-2</v>
      </c>
      <c r="G12" s="1">
        <v>1</v>
      </c>
      <c r="H12" s="1">
        <f t="shared" si="2"/>
        <v>-2.6899465220834085E-2</v>
      </c>
      <c r="I12" s="1"/>
      <c r="J12" s="1">
        <v>0</v>
      </c>
      <c r="K12" s="1">
        <v>1</v>
      </c>
      <c r="L12" s="4">
        <f>C13</f>
        <v>4427894</v>
      </c>
      <c r="M12" s="3">
        <f t="shared" si="3"/>
        <v>0.2171124393794123</v>
      </c>
      <c r="N12" s="3">
        <f t="shared" si="4"/>
        <v>0.43264964974863118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</v>
      </c>
      <c r="B13" s="1">
        <v>0</v>
      </c>
      <c r="C13" s="11">
        <v>4427894</v>
      </c>
      <c r="D13" s="3">
        <f t="shared" si="0"/>
        <v>0.2171124393794123</v>
      </c>
      <c r="E13" s="3">
        <f t="shared" ref="E13:E14" si="5">C13/($C$13+$C$14)</f>
        <v>0.46070506834527697</v>
      </c>
      <c r="F13" s="1">
        <f t="shared" si="1"/>
        <v>-2.6775994649202488E-2</v>
      </c>
      <c r="G13" s="1">
        <v>1</v>
      </c>
      <c r="H13" s="1">
        <f t="shared" si="2"/>
        <v>-2.6775994649202488E-2</v>
      </c>
      <c r="I13" s="1"/>
      <c r="J13" s="1">
        <v>1</v>
      </c>
      <c r="K13" s="1">
        <v>0</v>
      </c>
      <c r="L13" s="4">
        <f>C12</f>
        <v>4976879</v>
      </c>
      <c r="M13" s="3">
        <f t="shared" si="3"/>
        <v>0.24403076048933647</v>
      </c>
      <c r="N13" s="3">
        <f t="shared" ref="N13:N14" si="6">L13/($L$14+$L$13)</f>
        <v>0.48984499183571834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1</v>
      </c>
      <c r="B14" s="1">
        <v>1</v>
      </c>
      <c r="C14" s="11">
        <v>5183231</v>
      </c>
      <c r="D14" s="3">
        <f t="shared" si="0"/>
        <v>0.25414879540408836</v>
      </c>
      <c r="E14" s="3">
        <f t="shared" si="5"/>
        <v>0.53929493165472309</v>
      </c>
      <c r="F14" s="1">
        <f t="shared" si="1"/>
        <v>2.9076822439948174E-2</v>
      </c>
      <c r="G14" s="1">
        <v>1</v>
      </c>
      <c r="H14" s="1">
        <f t="shared" si="2"/>
        <v>2.9076822439948174E-2</v>
      </c>
      <c r="I14" s="1"/>
      <c r="J14" s="1">
        <v>1</v>
      </c>
      <c r="K14" s="1">
        <v>1</v>
      </c>
      <c r="L14" s="4">
        <f>C14</f>
        <v>5183231</v>
      </c>
      <c r="M14" s="3">
        <f t="shared" si="3"/>
        <v>0.25414879540408836</v>
      </c>
      <c r="N14" s="3">
        <f t="shared" si="6"/>
        <v>0.51015500816428172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4">
        <f>SUM(C11:C14)</f>
        <v>20394474</v>
      </c>
      <c r="D15" s="1"/>
      <c r="E15" s="1"/>
      <c r="F15" s="1"/>
      <c r="G15" s="1" t="s">
        <v>14</v>
      </c>
      <c r="H15" s="1">
        <f>SUM(H11:H14)</f>
        <v>4.3518390232545057E-3</v>
      </c>
      <c r="I15" s="1"/>
      <c r="J15" s="1"/>
      <c r="K15" s="1"/>
      <c r="L15" s="4">
        <f>SUM(L11:L14)</f>
        <v>20394474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 t="s">
        <v>16</v>
      </c>
      <c r="B17" s="1"/>
      <c r="C17" s="3">
        <f>(C11+C14)/C15</f>
        <v>0.53885680013125126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 t="s">
        <v>17</v>
      </c>
      <c r="B18" s="1"/>
      <c r="C18" s="3">
        <f>(C17/C36)-1</f>
        <v>1.9136170034003364E-2</v>
      </c>
      <c r="D18" s="1"/>
      <c r="E18" s="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 t="s">
        <v>18</v>
      </c>
      <c r="B19" s="1"/>
      <c r="C19" s="3">
        <f>(C17/(C36*C36))-1</f>
        <v>0.92748524806329269</v>
      </c>
      <c r="D19" s="1"/>
      <c r="E19" s="1"/>
      <c r="F19" s="11"/>
      <c r="G19" s="11"/>
      <c r="H19" s="11"/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19</v>
      </c>
      <c r="B20" s="1"/>
      <c r="C20" s="3">
        <f>C17-(1.96*C37/SQRT(C15))</f>
        <v>0.5387486560672099</v>
      </c>
      <c r="D20" s="1"/>
      <c r="E20" s="1"/>
      <c r="F20" s="11"/>
      <c r="G20" s="11"/>
      <c r="H20" s="1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 t="s">
        <v>20</v>
      </c>
      <c r="B21" s="1"/>
      <c r="C21" s="3">
        <f>C20*0.95</f>
        <v>0.51181122326384942</v>
      </c>
      <c r="D21" s="1"/>
      <c r="E21" s="1"/>
      <c r="F21" s="11"/>
      <c r="G21" s="11"/>
      <c r="H21" s="1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1"/>
      <c r="G22" s="11"/>
      <c r="H22" s="1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21</v>
      </c>
      <c r="B24" s="1"/>
      <c r="C24" s="3">
        <f>C14/(C14+C13)</f>
        <v>0.53929493165472309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 t="s">
        <v>22</v>
      </c>
      <c r="B25" s="1"/>
      <c r="C25" s="3">
        <f>C14/(C14+C12)</f>
        <v>0.51015500816428172</v>
      </c>
      <c r="D25" s="1" t="s">
        <v>23</v>
      </c>
      <c r="E25" s="6">
        <f>(C25/C35)-1</f>
        <v>8.2531238536199591E-2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 t="s">
        <v>24</v>
      </c>
      <c r="B26" s="1"/>
      <c r="C26" s="3">
        <f>C12/(C12+C11)</f>
        <v>0.46153370349044626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25</v>
      </c>
      <c r="B27" s="1"/>
      <c r="C27" s="3">
        <f>C14/(C14+C13+C12)</f>
        <v>0.35530775834720091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7" t="s">
        <v>26</v>
      </c>
      <c r="B28" s="8"/>
      <c r="C28" s="9">
        <f>C11/(C11+C12)</f>
        <v>0.5384662965095538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0</v>
      </c>
      <c r="B34" s="4">
        <f>C11+C12</f>
        <v>10783349</v>
      </c>
      <c r="C34" s="3">
        <f t="shared" ref="C34:C35" si="7">B34/$C$15</f>
        <v>0.52873876521649932</v>
      </c>
      <c r="D34" s="1">
        <f t="shared" ref="D34:D35" si="8">-C34*LOG(C34,2)</f>
        <v>0.48610814008834141</v>
      </c>
      <c r="E34" s="1"/>
      <c r="F34" s="1"/>
      <c r="G34" s="1">
        <v>0</v>
      </c>
      <c r="H34" s="4">
        <f t="shared" ref="H34:H35" si="9">C11+C13</f>
        <v>10234364</v>
      </c>
      <c r="I34" s="3">
        <f t="shared" ref="I34:I35" si="10">H34/$C$15</f>
        <v>0.50182044410657511</v>
      </c>
      <c r="J34" s="1">
        <f t="shared" ref="J34:J35" si="11">-I34*LOG(I34,2)</f>
        <v>0.49918932309824227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1</v>
      </c>
      <c r="B35" s="4">
        <f>C15-B34</f>
        <v>9611125</v>
      </c>
      <c r="C35" s="3">
        <f t="shared" si="7"/>
        <v>0.47126123478350068</v>
      </c>
      <c r="D35" s="1">
        <f t="shared" si="8"/>
        <v>0.5115074543764162</v>
      </c>
      <c r="E35" s="1"/>
      <c r="F35" s="1"/>
      <c r="G35" s="1">
        <v>1</v>
      </c>
      <c r="H35" s="4">
        <f t="shared" si="9"/>
        <v>10160110</v>
      </c>
      <c r="I35" s="3">
        <f t="shared" si="10"/>
        <v>0.49817955589342483</v>
      </c>
      <c r="J35" s="1">
        <f t="shared" si="11"/>
        <v>0.5008011146495841</v>
      </c>
      <c r="K35" s="1"/>
      <c r="L35" s="1">
        <v>0</v>
      </c>
      <c r="M35" s="1">
        <v>0</v>
      </c>
      <c r="N35" s="4">
        <f>C34*I34*$C$15</f>
        <v>5411304.9841361921</v>
      </c>
      <c r="O35" s="3">
        <f t="shared" ref="O35:O38" si="12">N35/$C$15</f>
        <v>0.26533192197730582</v>
      </c>
      <c r="P35" s="3">
        <f t="shared" ref="P35:P38" si="13">O35*G11</f>
        <v>0.26533192197730582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31</v>
      </c>
      <c r="B36" s="4"/>
      <c r="C36" s="3">
        <f>MAX(C34,C35)</f>
        <v>0.52873876521649932</v>
      </c>
      <c r="D36" s="1"/>
      <c r="E36" s="1"/>
      <c r="F36" s="1"/>
      <c r="G36" s="1" t="s">
        <v>31</v>
      </c>
      <c r="H36" s="4"/>
      <c r="I36" s="3">
        <f>MAX(I34,I35)</f>
        <v>0.50182044410657511</v>
      </c>
      <c r="J36" s="1"/>
      <c r="K36" s="1"/>
      <c r="L36" s="1">
        <v>0</v>
      </c>
      <c r="M36" s="1">
        <v>1</v>
      </c>
      <c r="N36" s="4">
        <f>C34*I35*$C$15</f>
        <v>5372044.0158638069</v>
      </c>
      <c r="O36" s="3">
        <f t="shared" si="12"/>
        <v>0.26340684323919344</v>
      </c>
      <c r="P36" s="3">
        <f t="shared" si="13"/>
        <v>0.26340684323919344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32</v>
      </c>
      <c r="B37" s="4"/>
      <c r="C37" s="1">
        <f>C36*(1-C36)</f>
        <v>0.24917408337383093</v>
      </c>
      <c r="D37" s="1"/>
      <c r="E37" s="1"/>
      <c r="F37" s="1"/>
      <c r="G37" s="1" t="s">
        <v>32</v>
      </c>
      <c r="H37" s="4"/>
      <c r="I37" s="1">
        <f>I36*(1-I36)</f>
        <v>0.24999668598325483</v>
      </c>
      <c r="J37" s="1"/>
      <c r="K37" s="1"/>
      <c r="L37" s="1">
        <v>1</v>
      </c>
      <c r="M37" s="1">
        <v>0</v>
      </c>
      <c r="N37" s="4">
        <f>C35*I34*$C$15</f>
        <v>4823059.0158638069</v>
      </c>
      <c r="O37" s="3">
        <f t="shared" si="12"/>
        <v>0.23648852212926927</v>
      </c>
      <c r="P37" s="3">
        <f t="shared" si="13"/>
        <v>0.23648852212926927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 t="s">
        <v>33</v>
      </c>
      <c r="B38" s="4">
        <f>SUM(B34:B35)</f>
        <v>20394474</v>
      </c>
      <c r="C38" s="1"/>
      <c r="D38" s="1"/>
      <c r="E38" s="1"/>
      <c r="F38" s="1"/>
      <c r="G38" s="1" t="s">
        <v>34</v>
      </c>
      <c r="H38" s="4">
        <f>SUM(H34:H35)</f>
        <v>20394474</v>
      </c>
      <c r="I38" s="1"/>
      <c r="J38" s="1"/>
      <c r="K38" s="1"/>
      <c r="L38" s="1">
        <v>1</v>
      </c>
      <c r="M38" s="1">
        <v>1</v>
      </c>
      <c r="N38" s="4">
        <f>C35*I35*$C$15</f>
        <v>4788065.9841361931</v>
      </c>
      <c r="O38" s="3">
        <f t="shared" si="12"/>
        <v>0.23477271265423139</v>
      </c>
      <c r="P38" s="3">
        <f t="shared" si="13"/>
        <v>0.23477271265423139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 t="s">
        <v>35</v>
      </c>
      <c r="B39" s="1">
        <f>SUM(D34:D35)</f>
        <v>0.99761559446475756</v>
      </c>
      <c r="C39" s="1"/>
      <c r="D39" s="1"/>
      <c r="E39" s="1"/>
      <c r="F39" s="1"/>
      <c r="G39" s="1" t="s">
        <v>35</v>
      </c>
      <c r="H39" s="1">
        <f>SUM(J34:J35)</f>
        <v>0.99999043774782637</v>
      </c>
      <c r="I39" s="1"/>
      <c r="J39" s="1"/>
      <c r="K39" s="1"/>
      <c r="L39" s="1"/>
      <c r="M39" s="1"/>
      <c r="N39" s="4">
        <f>SUM(N35:N38)</f>
        <v>20394474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 t="s">
        <v>36</v>
      </c>
      <c r="B41" s="1">
        <f>SUM(F11:F14)</f>
        <v>4.3518390232545057E-3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0.47126123478350068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38</v>
      </c>
      <c r="B42" s="10">
        <f>B41/B39</f>
        <v>4.3622403733467718E-3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39</v>
      </c>
      <c r="B43" s="10">
        <f>B41/H39</f>
        <v>4.3518806370345864E-3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sade amit</dc:creator>
  <cp:lastModifiedBy>anat sade amit</cp:lastModifiedBy>
  <dcterms:created xsi:type="dcterms:W3CDTF">2020-05-02T09:29:12Z</dcterms:created>
  <dcterms:modified xsi:type="dcterms:W3CDTF">2020-05-16T14:13:03Z</dcterms:modified>
</cp:coreProperties>
</file>