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ownloads\"/>
    </mc:Choice>
  </mc:AlternateContent>
  <xr:revisionPtr revIDLastSave="0" documentId="13_ncr:1_{7EE5434C-10D7-4E9A-B25D-9B72962AE409}" xr6:coauthVersionLast="47" xr6:coauthVersionMax="47" xr10:uidLastSave="{00000000-0000-0000-0000-000000000000}"/>
  <bookViews>
    <workbookView xWindow="-120" yWindow="-120" windowWidth="29040" windowHeight="15840" activeTab="6" xr2:uid="{901C833E-4840-4AA1-8624-BD8DA14C4D5D}"/>
  </bookViews>
  <sheets>
    <sheet name="1" sheetId="1" r:id="rId1"/>
    <sheet name="2" sheetId="2" r:id="rId2"/>
    <sheet name="3" sheetId="3" r:id="rId3"/>
    <sheet name="4-1" sheetId="6" r:id="rId4"/>
    <sheet name="4-2" sheetId="7" r:id="rId5"/>
    <sheet name="4-3" sheetId="8" r:id="rId6"/>
    <sheet name="5" sheetId="9" r:id="rId7"/>
    <sheet name="6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6" i="9" l="1"/>
  <c r="AB19" i="9" s="1"/>
  <c r="AC17" i="9"/>
  <c r="AA14" i="9"/>
  <c r="AC16" i="9"/>
  <c r="W5" i="9"/>
  <c r="V5" i="9"/>
  <c r="K4" i="9"/>
  <c r="F5" i="9"/>
  <c r="E5" i="9"/>
  <c r="X5" i="9" l="1"/>
  <c r="E6" i="10" l="1"/>
  <c r="I7" i="10" s="1"/>
  <c r="F7" i="7"/>
  <c r="G6" i="10"/>
  <c r="F6" i="10"/>
  <c r="D6" i="10"/>
  <c r="C6" i="10"/>
  <c r="H53" i="10" l="1"/>
  <c r="H45" i="10"/>
  <c r="H37" i="10"/>
  <c r="H29" i="10"/>
  <c r="H21" i="10"/>
  <c r="H13" i="10"/>
  <c r="I55" i="10"/>
  <c r="I47" i="10"/>
  <c r="I39" i="10"/>
  <c r="I31" i="10"/>
  <c r="I23" i="10"/>
  <c r="I15" i="10"/>
  <c r="H52" i="10"/>
  <c r="H44" i="10"/>
  <c r="H36" i="10"/>
  <c r="H28" i="10"/>
  <c r="H20" i="10"/>
  <c r="H12" i="10"/>
  <c r="I54" i="10"/>
  <c r="I46" i="10"/>
  <c r="I38" i="10"/>
  <c r="I30" i="10"/>
  <c r="I22" i="10"/>
  <c r="I14" i="10"/>
  <c r="E11" i="10"/>
  <c r="E14" i="10" s="1"/>
  <c r="H51" i="10"/>
  <c r="H43" i="10"/>
  <c r="H35" i="10"/>
  <c r="H27" i="10"/>
  <c r="H19" i="10"/>
  <c r="H11" i="10"/>
  <c r="I53" i="10"/>
  <c r="I45" i="10"/>
  <c r="I37" i="10"/>
  <c r="I29" i="10"/>
  <c r="I21" i="10"/>
  <c r="I13" i="10"/>
  <c r="H50" i="10"/>
  <c r="H42" i="10"/>
  <c r="H34" i="10"/>
  <c r="H26" i="10"/>
  <c r="H18" i="10"/>
  <c r="H10" i="10"/>
  <c r="I52" i="10"/>
  <c r="I44" i="10"/>
  <c r="I36" i="10"/>
  <c r="I28" i="10"/>
  <c r="I20" i="10"/>
  <c r="I12" i="10"/>
  <c r="E19" i="10"/>
  <c r="E22" i="10" s="1"/>
  <c r="H49" i="10"/>
  <c r="H41" i="10"/>
  <c r="H33" i="10"/>
  <c r="H25" i="10"/>
  <c r="H17" i="10"/>
  <c r="H9" i="10"/>
  <c r="I51" i="10"/>
  <c r="I43" i="10"/>
  <c r="I35" i="10"/>
  <c r="I27" i="10"/>
  <c r="I19" i="10"/>
  <c r="I11" i="10"/>
  <c r="H6" i="10"/>
  <c r="H48" i="10"/>
  <c r="H40" i="10"/>
  <c r="H32" i="10"/>
  <c r="H24" i="10"/>
  <c r="H16" i="10"/>
  <c r="H8" i="10"/>
  <c r="I50" i="10"/>
  <c r="I42" i="10"/>
  <c r="I34" i="10"/>
  <c r="I26" i="10"/>
  <c r="I18" i="10"/>
  <c r="I10" i="10"/>
  <c r="H55" i="10"/>
  <c r="H47" i="10"/>
  <c r="H39" i="10"/>
  <c r="H31" i="10"/>
  <c r="H23" i="10"/>
  <c r="H15" i="10"/>
  <c r="H7" i="10"/>
  <c r="I49" i="10"/>
  <c r="I41" i="10"/>
  <c r="I33" i="10"/>
  <c r="I25" i="10"/>
  <c r="I17" i="10"/>
  <c r="I9" i="10"/>
  <c r="H54" i="10"/>
  <c r="H46" i="10"/>
  <c r="H38" i="10"/>
  <c r="H30" i="10"/>
  <c r="H22" i="10"/>
  <c r="H14" i="10"/>
  <c r="I6" i="10"/>
  <c r="I48" i="10"/>
  <c r="I40" i="10"/>
  <c r="I32" i="10"/>
  <c r="I24" i="10"/>
  <c r="I16" i="10"/>
  <c r="I8" i="10"/>
  <c r="F10" i="7" l="1"/>
  <c r="F54" i="9"/>
  <c r="E54" i="9"/>
  <c r="F53" i="9"/>
  <c r="E53" i="9"/>
  <c r="F52" i="9"/>
  <c r="E52" i="9"/>
  <c r="F51" i="9"/>
  <c r="E51" i="9"/>
  <c r="F50" i="9"/>
  <c r="E50" i="9"/>
  <c r="F49" i="9"/>
  <c r="E49" i="9"/>
  <c r="F48" i="9"/>
  <c r="E48" i="9"/>
  <c r="F47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N25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L11" i="8"/>
  <c r="Q12" i="6"/>
  <c r="I9" i="8"/>
  <c r="F6" i="8"/>
  <c r="F5" i="8"/>
  <c r="I2" i="8" s="1"/>
  <c r="F2" i="8"/>
  <c r="F1" i="8"/>
  <c r="F3" i="8"/>
  <c r="W19" i="9" l="1"/>
  <c r="W14" i="9"/>
  <c r="W35" i="9"/>
  <c r="W16" i="9"/>
  <c r="W27" i="9"/>
  <c r="W40" i="9"/>
  <c r="W46" i="9"/>
  <c r="W39" i="9"/>
  <c r="X39" i="9" s="1"/>
  <c r="W48" i="9"/>
  <c r="V27" i="9"/>
  <c r="W20" i="9"/>
  <c r="W29" i="9"/>
  <c r="W30" i="9"/>
  <c r="W33" i="9"/>
  <c r="W22" i="9"/>
  <c r="V30" i="9"/>
  <c r="W37" i="9"/>
  <c r="V40" i="9"/>
  <c r="W12" i="9"/>
  <c r="W47" i="9"/>
  <c r="W9" i="9"/>
  <c r="V7" i="9"/>
  <c r="W52" i="9"/>
  <c r="V9" i="9"/>
  <c r="V26" i="9"/>
  <c r="W8" i="9"/>
  <c r="W26" i="9"/>
  <c r="V20" i="9"/>
  <c r="V35" i="9"/>
  <c r="W45" i="9"/>
  <c r="W51" i="9"/>
  <c r="V53" i="9"/>
  <c r="V25" i="9"/>
  <c r="W43" i="9"/>
  <c r="W42" i="9"/>
  <c r="V50" i="9"/>
  <c r="W53" i="9"/>
  <c r="W50" i="9"/>
  <c r="W44" i="9"/>
  <c r="W10" i="9"/>
  <c r="W38" i="9"/>
  <c r="V12" i="9"/>
  <c r="W36" i="9"/>
  <c r="W17" i="9"/>
  <c r="W24" i="9"/>
  <c r="V10" i="9"/>
  <c r="V13" i="9"/>
  <c r="V18" i="9"/>
  <c r="X18" i="9" s="1"/>
  <c r="V21" i="9"/>
  <c r="V49" i="9"/>
  <c r="W54" i="9"/>
  <c r="W18" i="9"/>
  <c r="W6" i="9"/>
  <c r="V44" i="9"/>
  <c r="V36" i="9"/>
  <c r="V8" i="9"/>
  <c r="V52" i="9"/>
  <c r="V45" i="9"/>
  <c r="V22" i="9"/>
  <c r="V43" i="9"/>
  <c r="W25" i="9"/>
  <c r="V23" i="9"/>
  <c r="V6" i="9"/>
  <c r="V34" i="9"/>
  <c r="W15" i="9"/>
  <c r="W21" i="9"/>
  <c r="W41" i="9"/>
  <c r="V28" i="9"/>
  <c r="V17" i="9"/>
  <c r="V33" i="9"/>
  <c r="X33" i="9" s="1"/>
  <c r="W7" i="9"/>
  <c r="V32" i="9"/>
  <c r="V31" i="9"/>
  <c r="W13" i="9"/>
  <c r="W32" i="9"/>
  <c r="W49" i="9"/>
  <c r="W34" i="9"/>
  <c r="W28" i="9"/>
  <c r="V48" i="9"/>
  <c r="X48" i="9" s="1"/>
  <c r="V14" i="9"/>
  <c r="X14" i="9" s="1"/>
  <c r="V29" i="9"/>
  <c r="X29" i="9" s="1"/>
  <c r="V42" i="9"/>
  <c r="X42" i="9" s="1"/>
  <c r="V39" i="9"/>
  <c r="V24" i="9"/>
  <c r="X24" i="9" s="1"/>
  <c r="V16" i="9"/>
  <c r="X16" i="9" s="1"/>
  <c r="V37" i="9"/>
  <c r="X37" i="9" s="1"/>
  <c r="V46" i="9"/>
  <c r="V51" i="9"/>
  <c r="V38" i="9"/>
  <c r="X38" i="9" s="1"/>
  <c r="V19" i="9"/>
  <c r="X19" i="9" s="1"/>
  <c r="V54" i="9"/>
  <c r="V15" i="9"/>
  <c r="V11" i="9"/>
  <c r="V41" i="9"/>
  <c r="W23" i="9"/>
  <c r="W11" i="9"/>
  <c r="W31" i="9"/>
  <c r="V47" i="9"/>
  <c r="X47" i="9" s="1"/>
  <c r="G41" i="9"/>
  <c r="H41" i="9" s="1"/>
  <c r="G48" i="9"/>
  <c r="H48" i="9" s="1"/>
  <c r="G52" i="9"/>
  <c r="H52" i="9" s="1"/>
  <c r="G50" i="9"/>
  <c r="H50" i="9" s="1"/>
  <c r="G39" i="9"/>
  <c r="H39" i="9" s="1"/>
  <c r="G47" i="9"/>
  <c r="H47" i="9" s="1"/>
  <c r="X20" i="9"/>
  <c r="G9" i="9"/>
  <c r="H9" i="9" s="1"/>
  <c r="G17" i="9"/>
  <c r="H17" i="9" s="1"/>
  <c r="G25" i="9"/>
  <c r="H25" i="9" s="1"/>
  <c r="X35" i="9"/>
  <c r="G27" i="9"/>
  <c r="H27" i="9" s="1"/>
  <c r="G42" i="9"/>
  <c r="H42" i="9" s="1"/>
  <c r="X50" i="9"/>
  <c r="G8" i="9"/>
  <c r="H8" i="9" s="1"/>
  <c r="G12" i="9"/>
  <c r="H12" i="9" s="1"/>
  <c r="G20" i="9"/>
  <c r="H20" i="9" s="1"/>
  <c r="G24" i="9"/>
  <c r="H24" i="9" s="1"/>
  <c r="G45" i="9"/>
  <c r="H45" i="9" s="1"/>
  <c r="G34" i="9"/>
  <c r="H34" i="9" s="1"/>
  <c r="G53" i="9"/>
  <c r="H53" i="9" s="1"/>
  <c r="G5" i="9"/>
  <c r="H5" i="9" s="1"/>
  <c r="G54" i="9"/>
  <c r="H54" i="9" s="1"/>
  <c r="G31" i="9"/>
  <c r="H31" i="9" s="1"/>
  <c r="G21" i="9"/>
  <c r="H21" i="9" s="1"/>
  <c r="G28" i="9"/>
  <c r="H28" i="9" s="1"/>
  <c r="G36" i="9"/>
  <c r="H36" i="9" s="1"/>
  <c r="G51" i="9"/>
  <c r="H51" i="9" s="1"/>
  <c r="G33" i="9"/>
  <c r="H33" i="9" s="1"/>
  <c r="G15" i="9"/>
  <c r="H15" i="9" s="1"/>
  <c r="G19" i="9"/>
  <c r="H19" i="9" s="1"/>
  <c r="G26" i="9"/>
  <c r="H26" i="9" s="1"/>
  <c r="G14" i="9"/>
  <c r="H14" i="9" s="1"/>
  <c r="G23" i="9"/>
  <c r="H23" i="9" s="1"/>
  <c r="G49" i="9"/>
  <c r="H49" i="9" s="1"/>
  <c r="G37" i="9"/>
  <c r="H37" i="9" s="1"/>
  <c r="G38" i="9"/>
  <c r="H38" i="9" s="1"/>
  <c r="G16" i="9"/>
  <c r="H16" i="9" s="1"/>
  <c r="G13" i="9"/>
  <c r="H13" i="9" s="1"/>
  <c r="G35" i="9"/>
  <c r="H35" i="9" s="1"/>
  <c r="G46" i="9"/>
  <c r="H46" i="9" s="1"/>
  <c r="G6" i="9"/>
  <c r="H6" i="9" s="1"/>
  <c r="G10" i="9"/>
  <c r="H10" i="9" s="1"/>
  <c r="G18" i="9"/>
  <c r="H18" i="9" s="1"/>
  <c r="G32" i="9"/>
  <c r="H32" i="9" s="1"/>
  <c r="G43" i="9"/>
  <c r="H43" i="9" s="1"/>
  <c r="G7" i="9"/>
  <c r="H7" i="9" s="1"/>
  <c r="G22" i="9"/>
  <c r="H22" i="9" s="1"/>
  <c r="G29" i="9"/>
  <c r="H29" i="9" s="1"/>
  <c r="G40" i="9"/>
  <c r="H40" i="9" s="1"/>
  <c r="G30" i="9"/>
  <c r="H30" i="9" s="1"/>
  <c r="G11" i="9"/>
  <c r="H11" i="9" s="1"/>
  <c r="G44" i="9"/>
  <c r="H44" i="9" s="1"/>
  <c r="I5" i="8"/>
  <c r="I1" i="8"/>
  <c r="J9" i="8"/>
  <c r="K9" i="8"/>
  <c r="D1" i="7"/>
  <c r="F14" i="7" s="1"/>
  <c r="D2" i="7"/>
  <c r="X45" i="9" l="1"/>
  <c r="X40" i="9"/>
  <c r="X7" i="9"/>
  <c r="X32" i="9"/>
  <c r="X11" i="9"/>
  <c r="X34" i="9"/>
  <c r="X27" i="9"/>
  <c r="X28" i="9"/>
  <c r="X23" i="9"/>
  <c r="X22" i="9"/>
  <c r="X25" i="9"/>
  <c r="X51" i="9"/>
  <c r="X26" i="9"/>
  <c r="X46" i="9"/>
  <c r="X6" i="9"/>
  <c r="X10" i="9"/>
  <c r="X53" i="9"/>
  <c r="X9" i="9"/>
  <c r="X30" i="9"/>
  <c r="X17" i="9"/>
  <c r="X44" i="9"/>
  <c r="X15" i="9"/>
  <c r="X52" i="9"/>
  <c r="X49" i="9"/>
  <c r="X43" i="9"/>
  <c r="X12" i="9"/>
  <c r="X41" i="9"/>
  <c r="X8" i="9"/>
  <c r="X31" i="9"/>
  <c r="X54" i="9"/>
  <c r="X36" i="9"/>
  <c r="X13" i="9"/>
  <c r="X21" i="9"/>
  <c r="K14" i="9"/>
  <c r="H9" i="8"/>
  <c r="L9" i="8" s="1"/>
  <c r="M9" i="8" s="1"/>
  <c r="N9" i="8" s="1"/>
  <c r="I4" i="8"/>
  <c r="O11" i="7"/>
  <c r="D38" i="7"/>
  <c r="D45" i="7"/>
  <c r="D37" i="7"/>
  <c r="D30" i="7"/>
  <c r="D39" i="7"/>
  <c r="D55" i="7"/>
  <c r="D54" i="7"/>
  <c r="D53" i="7"/>
  <c r="D47" i="7"/>
  <c r="D29" i="7"/>
  <c r="D31" i="7"/>
  <c r="D46" i="7"/>
  <c r="E55" i="7"/>
  <c r="D13" i="7"/>
  <c r="D28" i="7"/>
  <c r="E54" i="7"/>
  <c r="E30" i="7"/>
  <c r="D50" i="7"/>
  <c r="D49" i="7"/>
  <c r="D33" i="7"/>
  <c r="D25" i="7"/>
  <c r="D17" i="7"/>
  <c r="D9" i="7"/>
  <c r="E51" i="7"/>
  <c r="E43" i="7"/>
  <c r="E35" i="7"/>
  <c r="E27" i="7"/>
  <c r="E19" i="7"/>
  <c r="E11" i="7"/>
  <c r="F53" i="7"/>
  <c r="F45" i="7"/>
  <c r="F37" i="7"/>
  <c r="F29" i="7"/>
  <c r="F21" i="7"/>
  <c r="F13" i="7"/>
  <c r="D44" i="7"/>
  <c r="D12" i="7"/>
  <c r="E22" i="7"/>
  <c r="D7" i="7"/>
  <c r="D41" i="7"/>
  <c r="D56" i="7"/>
  <c r="D48" i="7"/>
  <c r="D40" i="7"/>
  <c r="D32" i="7"/>
  <c r="D24" i="7"/>
  <c r="D16" i="7"/>
  <c r="D8" i="7"/>
  <c r="E50" i="7"/>
  <c r="E42" i="7"/>
  <c r="E34" i="7"/>
  <c r="E26" i="7"/>
  <c r="E18" i="7"/>
  <c r="E10" i="7"/>
  <c r="F52" i="7"/>
  <c r="F44" i="7"/>
  <c r="F36" i="7"/>
  <c r="F28" i="7"/>
  <c r="F20" i="7"/>
  <c r="F12" i="7"/>
  <c r="D23" i="7"/>
  <c r="D15" i="7"/>
  <c r="E7" i="7"/>
  <c r="E49" i="7"/>
  <c r="E41" i="7"/>
  <c r="E33" i="7"/>
  <c r="E25" i="7"/>
  <c r="E17" i="7"/>
  <c r="E9" i="7"/>
  <c r="F51" i="7"/>
  <c r="F43" i="7"/>
  <c r="F35" i="7"/>
  <c r="F27" i="7"/>
  <c r="F19" i="7"/>
  <c r="F11" i="7"/>
  <c r="D22" i="7"/>
  <c r="D14" i="7"/>
  <c r="E56" i="7"/>
  <c r="E48" i="7"/>
  <c r="E40" i="7"/>
  <c r="E32" i="7"/>
  <c r="E24" i="7"/>
  <c r="E16" i="7"/>
  <c r="E8" i="7"/>
  <c r="F50" i="7"/>
  <c r="F42" i="7"/>
  <c r="F34" i="7"/>
  <c r="F26" i="7"/>
  <c r="F18" i="7"/>
  <c r="E47" i="7"/>
  <c r="E39" i="7"/>
  <c r="E31" i="7"/>
  <c r="E23" i="7"/>
  <c r="E15" i="7"/>
  <c r="F49" i="7"/>
  <c r="F41" i="7"/>
  <c r="F33" i="7"/>
  <c r="F25" i="7"/>
  <c r="F17" i="7"/>
  <c r="F9" i="7"/>
  <c r="D21" i="7"/>
  <c r="D36" i="7"/>
  <c r="E38" i="7"/>
  <c r="F56" i="7"/>
  <c r="F48" i="7"/>
  <c r="F40" i="7"/>
  <c r="F32" i="7"/>
  <c r="F24" i="7"/>
  <c r="F16" i="7"/>
  <c r="F8" i="7"/>
  <c r="D52" i="7"/>
  <c r="D20" i="7"/>
  <c r="E46" i="7"/>
  <c r="E14" i="7"/>
  <c r="D51" i="7"/>
  <c r="D43" i="7"/>
  <c r="D35" i="7"/>
  <c r="D27" i="7"/>
  <c r="D19" i="7"/>
  <c r="D11" i="7"/>
  <c r="E53" i="7"/>
  <c r="E45" i="7"/>
  <c r="E37" i="7"/>
  <c r="E29" i="7"/>
  <c r="E21" i="7"/>
  <c r="E13" i="7"/>
  <c r="F55" i="7"/>
  <c r="F47" i="7"/>
  <c r="F39" i="7"/>
  <c r="F31" i="7"/>
  <c r="F23" i="7"/>
  <c r="F15" i="7"/>
  <c r="D42" i="7"/>
  <c r="D34" i="7"/>
  <c r="D26" i="7"/>
  <c r="D18" i="7"/>
  <c r="D10" i="7"/>
  <c r="E52" i="7"/>
  <c r="E44" i="7"/>
  <c r="E36" i="7"/>
  <c r="E28" i="7"/>
  <c r="E20" i="7"/>
  <c r="E12" i="7"/>
  <c r="F54" i="7"/>
  <c r="F46" i="7"/>
  <c r="F38" i="7"/>
  <c r="F30" i="7"/>
  <c r="F22" i="7"/>
  <c r="O16" i="7"/>
  <c r="Q10" i="6"/>
  <c r="Q2" i="6"/>
  <c r="B2" i="6"/>
  <c r="F11" i="6" s="1"/>
  <c r="B7" i="6"/>
  <c r="B6" i="6"/>
  <c r="B5" i="6"/>
  <c r="AA5" i="9" l="1"/>
  <c r="K17" i="9"/>
  <c r="K18" i="9" s="1"/>
  <c r="K25" i="9" s="1"/>
  <c r="L30" i="9" s="1"/>
  <c r="I51" i="7"/>
  <c r="I43" i="7"/>
  <c r="I35" i="7"/>
  <c r="I19" i="7"/>
  <c r="I16" i="7"/>
  <c r="I9" i="7"/>
  <c r="I30" i="7"/>
  <c r="H39" i="7"/>
  <c r="H31" i="7"/>
  <c r="H14" i="7"/>
  <c r="H38" i="7"/>
  <c r="I52" i="7"/>
  <c r="I11" i="7"/>
  <c r="I44" i="7"/>
  <c r="I22" i="7"/>
  <c r="H45" i="7"/>
  <c r="H32" i="7"/>
  <c r="H51" i="7"/>
  <c r="I28" i="7"/>
  <c r="H54" i="7"/>
  <c r="H12" i="6"/>
  <c r="H3" i="6"/>
  <c r="H6" i="6"/>
  <c r="H4" i="6"/>
  <c r="H39" i="6"/>
  <c r="H20" i="6"/>
  <c r="H37" i="6"/>
  <c r="H15" i="6"/>
  <c r="H44" i="6"/>
  <c r="H43" i="6"/>
  <c r="H52" i="6"/>
  <c r="H36" i="6"/>
  <c r="H13" i="6"/>
  <c r="H23" i="6"/>
  <c r="H21" i="6"/>
  <c r="H51" i="6"/>
  <c r="H31" i="6"/>
  <c r="H8" i="6"/>
  <c r="H47" i="6"/>
  <c r="H29" i="6"/>
  <c r="H7" i="6"/>
  <c r="H45" i="6"/>
  <c r="H28" i="6"/>
  <c r="H5" i="6"/>
  <c r="H35" i="6"/>
  <c r="H27" i="6"/>
  <c r="H19" i="6"/>
  <c r="H11" i="6"/>
  <c r="K11" i="6" s="1"/>
  <c r="H50" i="6"/>
  <c r="H42" i="6"/>
  <c r="H34" i="6"/>
  <c r="H26" i="6"/>
  <c r="H18" i="6"/>
  <c r="H10" i="6"/>
  <c r="H49" i="6"/>
  <c r="H41" i="6"/>
  <c r="H33" i="6"/>
  <c r="H25" i="6"/>
  <c r="H17" i="6"/>
  <c r="H9" i="6"/>
  <c r="H48" i="6"/>
  <c r="H40" i="6"/>
  <c r="H32" i="6"/>
  <c r="H24" i="6"/>
  <c r="H16" i="6"/>
  <c r="H46" i="6"/>
  <c r="H38" i="6"/>
  <c r="H30" i="6"/>
  <c r="H22" i="6"/>
  <c r="H14" i="6"/>
  <c r="G8" i="6"/>
  <c r="F50" i="6"/>
  <c r="F34" i="6"/>
  <c r="G40" i="6"/>
  <c r="F26" i="6"/>
  <c r="G48" i="6"/>
  <c r="G32" i="6"/>
  <c r="F18" i="6"/>
  <c r="G16" i="6"/>
  <c r="F42" i="6"/>
  <c r="G24" i="6"/>
  <c r="F10" i="6"/>
  <c r="G47" i="6"/>
  <c r="G39" i="6"/>
  <c r="G31" i="6"/>
  <c r="J31" i="6" s="1"/>
  <c r="G23" i="6"/>
  <c r="G15" i="6"/>
  <c r="G7" i="6"/>
  <c r="F49" i="6"/>
  <c r="F41" i="6"/>
  <c r="F33" i="6"/>
  <c r="F25" i="6"/>
  <c r="F17" i="6"/>
  <c r="F9" i="6"/>
  <c r="G46" i="6"/>
  <c r="G38" i="6"/>
  <c r="G30" i="6"/>
  <c r="G22" i="6"/>
  <c r="G14" i="6"/>
  <c r="G6" i="6"/>
  <c r="F48" i="6"/>
  <c r="F40" i="6"/>
  <c r="F32" i="6"/>
  <c r="F24" i="6"/>
  <c r="F16" i="6"/>
  <c r="F8" i="6"/>
  <c r="G3" i="6"/>
  <c r="G45" i="6"/>
  <c r="G37" i="6"/>
  <c r="G29" i="6"/>
  <c r="G21" i="6"/>
  <c r="G13" i="6"/>
  <c r="G5" i="6"/>
  <c r="F47" i="6"/>
  <c r="F39" i="6"/>
  <c r="F31" i="6"/>
  <c r="F23" i="6"/>
  <c r="F15" i="6"/>
  <c r="F7" i="6"/>
  <c r="G52" i="6"/>
  <c r="G44" i="6"/>
  <c r="G36" i="6"/>
  <c r="G28" i="6"/>
  <c r="J28" i="6" s="1"/>
  <c r="G20" i="6"/>
  <c r="G12" i="6"/>
  <c r="J12" i="6" s="1"/>
  <c r="G4" i="6"/>
  <c r="F46" i="6"/>
  <c r="F38" i="6"/>
  <c r="F30" i="6"/>
  <c r="F22" i="6"/>
  <c r="F14" i="6"/>
  <c r="F6" i="6"/>
  <c r="G51" i="6"/>
  <c r="G43" i="6"/>
  <c r="J43" i="6" s="1"/>
  <c r="G35" i="6"/>
  <c r="G27" i="6"/>
  <c r="G19" i="6"/>
  <c r="J19" i="6" s="1"/>
  <c r="G11" i="6"/>
  <c r="F3" i="6"/>
  <c r="F45" i="6"/>
  <c r="F37" i="6"/>
  <c r="F29" i="6"/>
  <c r="F21" i="6"/>
  <c r="F13" i="6"/>
  <c r="F5" i="6"/>
  <c r="G50" i="6"/>
  <c r="G42" i="6"/>
  <c r="G34" i="6"/>
  <c r="G26" i="6"/>
  <c r="G18" i="6"/>
  <c r="J18" i="6" s="1"/>
  <c r="G10" i="6"/>
  <c r="F52" i="6"/>
  <c r="F44" i="6"/>
  <c r="F36" i="6"/>
  <c r="F28" i="6"/>
  <c r="F20" i="6"/>
  <c r="F12" i="6"/>
  <c r="F4" i="6"/>
  <c r="G49" i="6"/>
  <c r="J49" i="6" s="1"/>
  <c r="G41" i="6"/>
  <c r="J41" i="6" s="1"/>
  <c r="G33" i="6"/>
  <c r="J33" i="6" s="1"/>
  <c r="G25" i="6"/>
  <c r="J25" i="6" s="1"/>
  <c r="G17" i="6"/>
  <c r="J17" i="6" s="1"/>
  <c r="G9" i="6"/>
  <c r="J9" i="6" s="1"/>
  <c r="F51" i="6"/>
  <c r="F43" i="6"/>
  <c r="F35" i="6"/>
  <c r="F27" i="6"/>
  <c r="F19" i="6"/>
  <c r="J6" i="6" l="1"/>
  <c r="J47" i="6"/>
  <c r="J4" i="6"/>
  <c r="J50" i="6"/>
  <c r="I17" i="7"/>
  <c r="H52" i="7"/>
  <c r="H16" i="7"/>
  <c r="H40" i="7"/>
  <c r="H44" i="7"/>
  <c r="H22" i="7"/>
  <c r="I21" i="7"/>
  <c r="H9" i="7"/>
  <c r="H34" i="7"/>
  <c r="I38" i="7"/>
  <c r="I41" i="7"/>
  <c r="I23" i="7"/>
  <c r="H20" i="7"/>
  <c r="H33" i="7"/>
  <c r="H55" i="7"/>
  <c r="I49" i="7"/>
  <c r="I42" i="7"/>
  <c r="I13" i="7"/>
  <c r="I55" i="7"/>
  <c r="I27" i="7"/>
  <c r="H19" i="7"/>
  <c r="I7" i="7"/>
  <c r="I12" i="7"/>
  <c r="H23" i="7"/>
  <c r="I46" i="7"/>
  <c r="I29" i="7"/>
  <c r="I15" i="7"/>
  <c r="H10" i="7"/>
  <c r="I8" i="7"/>
  <c r="H48" i="7"/>
  <c r="I34" i="7"/>
  <c r="H28" i="7"/>
  <c r="H21" i="7"/>
  <c r="H53" i="7"/>
  <c r="H46" i="7"/>
  <c r="H41" i="7"/>
  <c r="H25" i="7"/>
  <c r="H42" i="7"/>
  <c r="H36" i="7"/>
  <c r="I37" i="7"/>
  <c r="I33" i="7"/>
  <c r="I50" i="7"/>
  <c r="I20" i="7"/>
  <c r="H24" i="7"/>
  <c r="H56" i="7"/>
  <c r="H18" i="7"/>
  <c r="H50" i="7"/>
  <c r="I25" i="7"/>
  <c r="I31" i="7"/>
  <c r="I32" i="7"/>
  <c r="I45" i="7"/>
  <c r="H27" i="7"/>
  <c r="I26" i="7"/>
  <c r="I14" i="7"/>
  <c r="H35" i="7"/>
  <c r="H29" i="7"/>
  <c r="H15" i="7"/>
  <c r="I24" i="7"/>
  <c r="H17" i="7"/>
  <c r="H11" i="7"/>
  <c r="H43" i="7"/>
  <c r="H8" i="7"/>
  <c r="H37" i="7"/>
  <c r="I10" i="7"/>
  <c r="I39" i="7"/>
  <c r="I40" i="7"/>
  <c r="I53" i="7"/>
  <c r="H49" i="7"/>
  <c r="I36" i="7"/>
  <c r="I54" i="7"/>
  <c r="I18" i="7"/>
  <c r="H12" i="7"/>
  <c r="H26" i="7"/>
  <c r="H30" i="7"/>
  <c r="I47" i="7"/>
  <c r="I48" i="7"/>
  <c r="H47" i="7"/>
  <c r="I56" i="7"/>
  <c r="H7" i="7"/>
  <c r="H13" i="7"/>
  <c r="K3" i="6"/>
  <c r="J11" i="6"/>
  <c r="J22" i="6"/>
  <c r="J40" i="6"/>
  <c r="J48" i="6"/>
  <c r="J44" i="6"/>
  <c r="J10" i="6"/>
  <c r="J14" i="6"/>
  <c r="J27" i="6"/>
  <c r="J52" i="6"/>
  <c r="J36" i="6"/>
  <c r="J29" i="6"/>
  <c r="J8" i="6"/>
  <c r="J42" i="6"/>
  <c r="K38" i="6"/>
  <c r="K17" i="6"/>
  <c r="J39" i="6"/>
  <c r="K34" i="6"/>
  <c r="J13" i="6"/>
  <c r="J7" i="6"/>
  <c r="J35" i="6"/>
  <c r="K21" i="6"/>
  <c r="K37" i="6"/>
  <c r="K46" i="6"/>
  <c r="K25" i="6"/>
  <c r="K42" i="6"/>
  <c r="K45" i="6"/>
  <c r="K23" i="6"/>
  <c r="K20" i="6"/>
  <c r="J5" i="6"/>
  <c r="J30" i="6"/>
  <c r="J24" i="6"/>
  <c r="K50" i="6"/>
  <c r="J15" i="6"/>
  <c r="J26" i="6"/>
  <c r="J51" i="6"/>
  <c r="K16" i="6"/>
  <c r="K33" i="6"/>
  <c r="K7" i="6"/>
  <c r="K13" i="6"/>
  <c r="K39" i="6"/>
  <c r="J38" i="6"/>
  <c r="K24" i="6"/>
  <c r="K41" i="6"/>
  <c r="K29" i="6"/>
  <c r="K36" i="6"/>
  <c r="K4" i="6"/>
  <c r="J21" i="6"/>
  <c r="J46" i="6"/>
  <c r="J16" i="6"/>
  <c r="K32" i="6"/>
  <c r="K49" i="6"/>
  <c r="K19" i="6"/>
  <c r="K47" i="6"/>
  <c r="K52" i="6"/>
  <c r="K6" i="6"/>
  <c r="K28" i="6"/>
  <c r="J23" i="6"/>
  <c r="K14" i="6"/>
  <c r="K40" i="6"/>
  <c r="K10" i="6"/>
  <c r="K27" i="6"/>
  <c r="K8" i="6"/>
  <c r="K43" i="6"/>
  <c r="J37" i="6"/>
  <c r="J32" i="6"/>
  <c r="K22" i="6"/>
  <c r="K48" i="6"/>
  <c r="K18" i="6"/>
  <c r="K35" i="6"/>
  <c r="K31" i="6"/>
  <c r="K44" i="6"/>
  <c r="J3" i="6"/>
  <c r="J34" i="6"/>
  <c r="J20" i="6"/>
  <c r="J45" i="6"/>
  <c r="K30" i="6"/>
  <c r="K9" i="6"/>
  <c r="K26" i="6"/>
  <c r="K5" i="6"/>
  <c r="K51" i="6"/>
  <c r="K15" i="6"/>
  <c r="K12" i="6"/>
  <c r="L7" i="7" l="1"/>
  <c r="L6" i="7"/>
  <c r="N3" i="6"/>
  <c r="N2" i="6"/>
  <c r="Q5" i="6" s="1"/>
  <c r="S12" i="3"/>
  <c r="S13" i="3"/>
  <c r="S14" i="3"/>
  <c r="S15" i="3"/>
  <c r="S16" i="3"/>
  <c r="S11" i="3"/>
  <c r="P13" i="3"/>
  <c r="P12" i="3"/>
  <c r="P11" i="3"/>
  <c r="Q22" i="3"/>
  <c r="L13" i="3"/>
  <c r="O8" i="7" l="1"/>
  <c r="P10" i="6"/>
  <c r="J2" i="3"/>
  <c r="J4" i="3" s="1"/>
  <c r="N16" i="7" l="1"/>
  <c r="O18" i="7" s="1"/>
  <c r="G4" i="3"/>
  <c r="G3" i="3"/>
  <c r="G2" i="3"/>
  <c r="U15" i="1"/>
  <c r="U16" i="1"/>
  <c r="U17" i="1"/>
  <c r="U18" i="1"/>
  <c r="U19" i="1"/>
  <c r="U14" i="1"/>
  <c r="T15" i="1"/>
  <c r="T16" i="1"/>
  <c r="T17" i="1"/>
  <c r="T18" i="1"/>
  <c r="T19" i="1"/>
  <c r="T14" i="1"/>
  <c r="D4" i="3"/>
  <c r="D3" i="3"/>
  <c r="D11" i="3" s="1"/>
  <c r="D2" i="3"/>
  <c r="B24" i="2"/>
  <c r="E32" i="2"/>
  <c r="E15" i="2"/>
  <c r="B9" i="2" s="1"/>
  <c r="E24" i="2"/>
  <c r="E33" i="2"/>
  <c r="E29" i="2"/>
  <c r="I13" i="2"/>
  <c r="E30" i="2" s="1"/>
  <c r="L11" i="3" l="1"/>
  <c r="D6" i="3"/>
  <c r="D12" i="3" s="1"/>
  <c r="L12" i="3" s="1"/>
  <c r="N12" i="3" s="1"/>
  <c r="B8" i="2"/>
  <c r="B48" i="2"/>
  <c r="B40" i="2"/>
  <c r="B16" i="2"/>
  <c r="B46" i="2"/>
  <c r="B32" i="2"/>
  <c r="B47" i="2"/>
  <c r="B39" i="2"/>
  <c r="B31" i="2"/>
  <c r="B23" i="2"/>
  <c r="B15" i="2"/>
  <c r="B7" i="2"/>
  <c r="B38" i="2"/>
  <c r="B30" i="2"/>
  <c r="B22" i="2"/>
  <c r="B14" i="2"/>
  <c r="B6" i="2"/>
  <c r="B45" i="2"/>
  <c r="B37" i="2"/>
  <c r="B29" i="2"/>
  <c r="B21" i="2"/>
  <c r="B13" i="2"/>
  <c r="B5" i="2"/>
  <c r="B44" i="2"/>
  <c r="B36" i="2"/>
  <c r="B28" i="2"/>
  <c r="B20" i="2"/>
  <c r="B12" i="2"/>
  <c r="B4" i="2"/>
  <c r="B1" i="2"/>
  <c r="B43" i="2"/>
  <c r="B35" i="2"/>
  <c r="B27" i="2"/>
  <c r="B19" i="2"/>
  <c r="B11" i="2"/>
  <c r="B3" i="2"/>
  <c r="B50" i="2"/>
  <c r="B42" i="2"/>
  <c r="B34" i="2"/>
  <c r="B26" i="2"/>
  <c r="B18" i="2"/>
  <c r="B10" i="2"/>
  <c r="B2" i="2"/>
  <c r="B49" i="2"/>
  <c r="B41" i="2"/>
  <c r="B33" i="2"/>
  <c r="B25" i="2"/>
  <c r="B17" i="2"/>
  <c r="F34" i="2"/>
  <c r="I14" i="2"/>
  <c r="D13" i="3" l="1"/>
  <c r="E11" i="3"/>
  <c r="E12" i="2"/>
  <c r="E22" i="2"/>
  <c r="E25" i="2" s="1"/>
  <c r="E13" i="2"/>
  <c r="F30" i="2"/>
  <c r="E34" i="2" s="1"/>
  <c r="E12" i="3" l="1"/>
  <c r="M11" i="3"/>
  <c r="O11" i="3" s="1"/>
  <c r="D14" i="3"/>
  <c r="N13" i="3"/>
  <c r="F11" i="3"/>
  <c r="F25" i="2"/>
  <c r="E13" i="3" l="1"/>
  <c r="M12" i="3"/>
  <c r="O12" i="3" s="1"/>
  <c r="D15" i="3"/>
  <c r="L14" i="3"/>
  <c r="N14" i="3" s="1"/>
  <c r="F12" i="3"/>
  <c r="D8" i="1"/>
  <c r="V14" i="1"/>
  <c r="V15" i="1" s="1"/>
  <c r="V16" i="1" s="1"/>
  <c r="V17" i="1" s="1"/>
  <c r="V18" i="1" s="1"/>
  <c r="V19" i="1" s="1"/>
  <c r="V6" i="1"/>
  <c r="V7" i="1" s="1"/>
  <c r="V8" i="1" s="1"/>
  <c r="V9" i="1" s="1"/>
  <c r="V5" i="1"/>
  <c r="V4" i="1"/>
  <c r="M10" i="1"/>
  <c r="E12" i="1"/>
  <c r="D12" i="1"/>
  <c r="E8" i="1"/>
  <c r="E4" i="1"/>
  <c r="M3" i="1"/>
  <c r="M4" i="1"/>
  <c r="P14" i="1" s="1"/>
  <c r="M5" i="1"/>
  <c r="L5" i="1"/>
  <c r="L4" i="1"/>
  <c r="P4" i="1" s="1"/>
  <c r="L3" i="1"/>
  <c r="D4" i="1"/>
  <c r="E14" i="3" l="1"/>
  <c r="M13" i="3"/>
  <c r="O13" i="3" s="1"/>
  <c r="D16" i="3"/>
  <c r="L16" i="3" s="1"/>
  <c r="N16" i="3" s="1"/>
  <c r="P16" i="3" s="1"/>
  <c r="L15" i="3"/>
  <c r="N15" i="3" s="1"/>
  <c r="F13" i="3"/>
  <c r="L7" i="1"/>
  <c r="P5" i="1" s="1"/>
  <c r="Q4" i="1" s="1"/>
  <c r="Q5" i="1" s="1"/>
  <c r="Q6" i="1" s="1"/>
  <c r="Q7" i="1" s="1"/>
  <c r="Q8" i="1" s="1"/>
  <c r="Q9" i="1" s="1"/>
  <c r="M7" i="1"/>
  <c r="P15" i="1" s="1"/>
  <c r="P16" i="1" s="1"/>
  <c r="P17" i="1" s="1"/>
  <c r="P18" i="1" s="1"/>
  <c r="P19" i="1" s="1"/>
  <c r="E15" i="3" l="1"/>
  <c r="M14" i="3"/>
  <c r="O14" i="3" s="1"/>
  <c r="P14" i="3" s="1"/>
  <c r="G11" i="3" a="1"/>
  <c r="F14" i="3"/>
  <c r="S14" i="1" a="1"/>
  <c r="Q14" i="1"/>
  <c r="Q15" i="1" s="1"/>
  <c r="Q16" i="1" s="1"/>
  <c r="Q17" i="1" s="1"/>
  <c r="Q18" i="1" s="1"/>
  <c r="Q19" i="1" s="1"/>
  <c r="P6" i="1"/>
  <c r="P7" i="1" s="1"/>
  <c r="R5" i="1"/>
  <c r="R4" i="1"/>
  <c r="G11" i="3" l="1"/>
  <c r="Q14" i="3"/>
  <c r="Q13" i="3"/>
  <c r="Q12" i="3"/>
  <c r="Q16" i="3"/>
  <c r="E16" i="3"/>
  <c r="M16" i="3" s="1"/>
  <c r="M15" i="3"/>
  <c r="O15" i="3" s="1"/>
  <c r="P15" i="3" s="1"/>
  <c r="Q15" i="3" s="1"/>
  <c r="F16" i="3"/>
  <c r="F15" i="3"/>
  <c r="S14" i="1"/>
  <c r="R14" i="1"/>
  <c r="R16" i="1"/>
  <c r="R15" i="1"/>
  <c r="R6" i="1"/>
  <c r="R17" i="1"/>
  <c r="P8" i="1"/>
  <c r="R7" i="1"/>
  <c r="G17" i="3" l="1"/>
  <c r="Q11" i="3"/>
  <c r="Q18" i="3" s="1"/>
  <c r="S20" i="1"/>
  <c r="R18" i="1"/>
  <c r="P9" i="1"/>
  <c r="R8" i="1"/>
  <c r="H15" i="3" l="1"/>
  <c r="I15" i="3" s="1"/>
  <c r="H14" i="3"/>
  <c r="I14" i="3" s="1"/>
  <c r="H16" i="3"/>
  <c r="I16" i="3" s="1"/>
  <c r="H12" i="3"/>
  <c r="I12" i="3" s="1"/>
  <c r="H13" i="3"/>
  <c r="I13" i="3" s="1"/>
  <c r="H11" i="3"/>
  <c r="R19" i="1"/>
  <c r="R9" i="1"/>
  <c r="I11" i="3" l="1"/>
  <c r="H17" i="3"/>
  <c r="J11" i="3"/>
  <c r="J12" i="3" s="1"/>
  <c r="J13" i="3" s="1"/>
  <c r="J14" i="3" s="1"/>
  <c r="J15" i="3" s="1"/>
  <c r="J16" i="3" s="1"/>
  <c r="S4" i="1" a="1"/>
  <c r="S4" i="1" l="1"/>
  <c r="S10" i="1" l="1"/>
  <c r="T4" i="1" s="1"/>
  <c r="U4" i="1" s="1"/>
  <c r="T6" i="1" l="1"/>
  <c r="U6" i="1" s="1"/>
  <c r="T5" i="1"/>
  <c r="U5" i="1" s="1"/>
  <c r="T7" i="1"/>
  <c r="U7" i="1" s="1"/>
  <c r="T8" i="1"/>
  <c r="U8" i="1" s="1"/>
  <c r="T9" i="1"/>
  <c r="U9" i="1" s="1"/>
  <c r="T10" i="1" l="1"/>
  <c r="T20" i="1"/>
  <c r="F16" i="2"/>
  <c r="E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<sst xmlns="http://schemas.openxmlformats.org/spreadsheetml/2006/main" count="184" uniqueCount="117">
  <si>
    <t>X</t>
  </si>
  <si>
    <t>Y</t>
  </si>
  <si>
    <t>выборочное среднее:</t>
  </si>
  <si>
    <t>выборочная дисперсия:</t>
  </si>
  <si>
    <t>среднеквадратическое отклонение:</t>
  </si>
  <si>
    <t>число элементов</t>
  </si>
  <si>
    <t>минимальный</t>
  </si>
  <si>
    <t>максимальный</t>
  </si>
  <si>
    <t>число промежутков</t>
  </si>
  <si>
    <t>шаг</t>
  </si>
  <si>
    <t>номер
промежутка</t>
  </si>
  <si>
    <t>X:</t>
  </si>
  <si>
    <t>Y:</t>
  </si>
  <si>
    <t>сумма</t>
  </si>
  <si>
    <t>начало промежутка</t>
  </si>
  <si>
    <t>конец промежутка</t>
  </si>
  <si>
    <t>середина промежутка</t>
  </si>
  <si>
    <t>абсолютная частота</t>
  </si>
  <si>
    <t>относительная частота</t>
  </si>
  <si>
    <t>накопленная частота</t>
  </si>
  <si>
    <t>сколько интервалов?</t>
  </si>
  <si>
    <t>1 + log_2(50)</t>
  </si>
  <si>
    <t>плотность относ. част.</t>
  </si>
  <si>
    <t>полигон частот</t>
  </si>
  <si>
    <t>гистограмма</t>
  </si>
  <si>
    <t>Доверительный интервал для МО</t>
  </si>
  <si>
    <t>Выборочная дисперсия</t>
  </si>
  <si>
    <t>a</t>
  </si>
  <si>
    <t>1-a/2</t>
  </si>
  <si>
    <t>n</t>
  </si>
  <si>
    <t>Выборочное среднее</t>
  </si>
  <si>
    <t>1) Доверительные интервалы для МО при неизвестной дисперсии</t>
  </si>
  <si>
    <t>Квантиль стьюдента</t>
  </si>
  <si>
    <t>3) Доверительный интервал для дисперсии при неизвестном МО</t>
  </si>
  <si>
    <t>Доверительный интервал для дисперсии</t>
  </si>
  <si>
    <t>Исправленная выборочная дисперсия</t>
  </si>
  <si>
    <t>доверительный интервал для МО при известной дисперсии. u - квантиль нормального распрелеления.</t>
  </si>
  <si>
    <t>квантиль уровня p — значение, которое заданная случайная величина не превышает с вероятностью p.</t>
  </si>
  <si>
    <t>доверительный интервал для МО при неизвестной дисперсии.</t>
  </si>
  <si>
    <t>это квантиль распределения функции Стьюдента с n-1 степенью свободы.</t>
  </si>
  <si>
    <t>формулы:</t>
  </si>
  <si>
    <t>доверительный интервал для дисперсии.</t>
  </si>
  <si>
    <t>2) Доверительные интервалы при известной дисперсии для математического ожидания</t>
  </si>
  <si>
    <t>(s^2)</t>
  </si>
  <si>
    <t>если вероятность (уровень доверия) b, то а = 1-b, а квантили ищутся для 1-а/2.</t>
  </si>
  <si>
    <t>Уровень доверия (b)</t>
  </si>
  <si>
    <t>s</t>
  </si>
  <si>
    <t>Квантиль нормального распределения (вернет значение, при котором 95% данных лежат слева от этой точки в стандартном нормальном распределении).</t>
  </si>
  <si>
    <t>(это значение нам дано)</t>
  </si>
  <si>
    <t>(1-a/2, количество степеней свободы = 49)</t>
  </si>
  <si>
    <t>xи-квадрат квантиль</t>
  </si>
  <si>
    <t>(по формуле)</t>
  </si>
  <si>
    <t>значения            и            находятся по таблицам хи-квадрат распределения с n-1 степенью свободы, в таблице нужно искать       и            .</t>
  </si>
  <si>
    <t>выборочное среднее</t>
  </si>
  <si>
    <t>выборочная дисперсия</t>
  </si>
  <si>
    <t>ср. кв. отклонение</t>
  </si>
  <si>
    <t>степени свободы</t>
  </si>
  <si>
    <t>уровень значимости</t>
  </si>
  <si>
    <t>критическое значение</t>
  </si>
  <si>
    <t>объем выборки</t>
  </si>
  <si>
    <t>нормированные координаты интервалов</t>
  </si>
  <si>
    <t>значение функции Лапласа на границах</t>
  </si>
  <si>
    <t>абсолютная частота (n_k)</t>
  </si>
  <si>
    <t>число элементов (n)</t>
  </si>
  <si>
    <t>вероятность попадания в интервал (p_k)</t>
  </si>
  <si>
    <t>хи-квадрат меньше критического значения?</t>
  </si>
  <si>
    <t>гипотеза: генеральная совокупность для выборки распределена нормально</t>
  </si>
  <si>
    <t>k</t>
  </si>
  <si>
    <t>упорядоченная
выборка</t>
  </si>
  <si>
    <t>z (по таблице)</t>
  </si>
  <si>
    <t>максимумы</t>
  </si>
  <si>
    <t>z</t>
  </si>
  <si>
    <t>статистика Колмогорова</t>
  </si>
  <si>
    <t>α</t>
  </si>
  <si>
    <t>1-α</t>
  </si>
  <si>
    <t>вторая выборка</t>
  </si>
  <si>
    <t>первая выборка</t>
  </si>
  <si>
    <t xml:space="preserve">гипотеза:                                 </t>
  </si>
  <si>
    <t>m</t>
  </si>
  <si>
    <t>перемешанные выборки</t>
  </si>
  <si>
    <t>номер выборки</t>
  </si>
  <si>
    <t>R1+R2</t>
  </si>
  <si>
    <t>R1</t>
  </si>
  <si>
    <t>R2</t>
  </si>
  <si>
    <t>w1</t>
  </si>
  <si>
    <t>w2</t>
  </si>
  <si>
    <t>w1+w2</t>
  </si>
  <si>
    <t>n*m</t>
  </si>
  <si>
    <t>Ранги 1</t>
  </si>
  <si>
    <t>Ранги 2</t>
  </si>
  <si>
    <t>Коэф. корреляции</t>
  </si>
  <si>
    <t>Коэф. Спирмена</t>
  </si>
  <si>
    <t>Коэф. Кэндела соответствует квантилю нормального распределения с параметрами:</t>
  </si>
  <si>
    <t>Оценка критерия</t>
  </si>
  <si>
    <t>ср. кв. откл.</t>
  </si>
  <si>
    <t>гипотеза: X и Y — независимые случайные велечины</t>
  </si>
  <si>
    <t>b</t>
  </si>
  <si>
    <t>оценка критерия меньше критического значения?</t>
  </si>
  <si>
    <t>τ</t>
  </si>
  <si>
    <r>
      <t>разность (d</t>
    </r>
    <r>
      <rPr>
        <b/>
        <vertAlign val="subscript"/>
        <sz val="11"/>
        <color theme="1"/>
        <rFont val="Times New Roman"/>
        <family val="1"/>
        <charset val="204"/>
      </rPr>
      <t>i</t>
    </r>
    <r>
      <rPr>
        <b/>
        <sz val="11"/>
        <color theme="1"/>
        <rFont val="Times New Roman"/>
        <family val="1"/>
        <charset val="204"/>
      </rPr>
      <t>)</t>
    </r>
  </si>
  <si>
    <t>кол-во больших рангов</t>
  </si>
  <si>
    <t>кол-во меньших рангов</t>
  </si>
  <si>
    <t>Коэффициент ранговой корреляции Кэндела</t>
  </si>
  <si>
    <t>Построить линейную регрессию Х на Y, Y на X, где X – первая выборка (столбик), Y – вторая выборка (столбик).</t>
  </si>
  <si>
    <t>выборочное среднее X</t>
  </si>
  <si>
    <t>выборочное среднее Y</t>
  </si>
  <si>
    <t>коэфф. коррел. Пирсона (P)</t>
  </si>
  <si>
    <t>Y на X</t>
  </si>
  <si>
    <t>X на Y</t>
  </si>
  <si>
    <t>σ X</t>
  </si>
  <si>
    <t>σ Y</t>
  </si>
  <si>
    <t>a = P*(σ Y / σ X)</t>
  </si>
  <si>
    <t>b = Ȳ - a*X̄</t>
  </si>
  <si>
    <t>Y на X:</t>
  </si>
  <si>
    <t>X на Y:</t>
  </si>
  <si>
    <t>a = P*(σ X / σ Y)</t>
  </si>
  <si>
    <t>b = X̄- a*Ȳ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</si>
</sst>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0"/>
    <numFmt numFmtId="166" formatCode="0.000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66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vertAlign val="subscript"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164" fontId="5" fillId="0" borderId="8" xfId="0" applyNumberFormat="1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164" fontId="5" fillId="0" borderId="0" xfId="0" applyNumberFormat="1" applyFont="1" applyAlignment="1">
      <alignment vertical="center"/>
    </xf>
    <xf numFmtId="165" fontId="5" fillId="0" borderId="9" xfId="0" applyNumberFormat="1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/>
    </xf>
    <xf numFmtId="0" fontId="6" fillId="0" borderId="18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1" fillId="0" borderId="21" xfId="0" applyFont="1" applyBorder="1"/>
    <xf numFmtId="0" fontId="1" fillId="0" borderId="17" xfId="0" applyFont="1" applyBorder="1"/>
    <xf numFmtId="0" fontId="1" fillId="0" borderId="9" xfId="0" applyFont="1" applyBorder="1"/>
    <xf numFmtId="164" fontId="1" fillId="0" borderId="9" xfId="0" applyNumberFormat="1" applyFont="1" applyBorder="1"/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vertical="center" wrapText="1"/>
    </xf>
    <xf numFmtId="0" fontId="1" fillId="0" borderId="12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0" xfId="0" applyFont="1" applyAlignment="1">
      <alignment horizontal="right" vertical="center" wrapText="1"/>
    </xf>
    <xf numFmtId="166" fontId="1" fillId="0" borderId="8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0" borderId="8" xfId="0" applyFont="1" applyBorder="1"/>
    <xf numFmtId="0" fontId="3" fillId="0" borderId="2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9F9FE3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2">
                <a:alpha val="70000"/>
              </a:schemeClr>
            </a:solidFill>
            <a:ln w="25400">
              <a:solidFill>
                <a:schemeClr val="accent2"/>
              </a:solidFill>
            </a:ln>
            <a:effectLst/>
          </c:spPr>
          <c:cat>
            <c:numRef>
              <c:f>'1'!$R$4:$R$9</c:f>
              <c:numCache>
                <c:formatCode>General</c:formatCode>
                <c:ptCount val="6"/>
                <c:pt idx="0">
                  <c:v>1.1687591666666668</c:v>
                </c:pt>
                <c:pt idx="1">
                  <c:v>1.4998775000000002</c:v>
                </c:pt>
                <c:pt idx="2">
                  <c:v>1.8309958333333336</c:v>
                </c:pt>
                <c:pt idx="3">
                  <c:v>2.162114166666667</c:v>
                </c:pt>
                <c:pt idx="4">
                  <c:v>2.4932325000000004</c:v>
                </c:pt>
                <c:pt idx="5">
                  <c:v>2.8243508333333338</c:v>
                </c:pt>
              </c:numCache>
            </c:numRef>
          </c:cat>
          <c:val>
            <c:numRef>
              <c:f>'1'!$S$4:$S$9</c:f>
              <c:numCache>
                <c:formatCode>General</c:formatCode>
                <c:ptCount val="6"/>
                <c:pt idx="0">
                  <c:v>17</c:v>
                </c:pt>
                <c:pt idx="1">
                  <c:v>18</c:v>
                </c:pt>
                <c:pt idx="2">
                  <c:v>11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D-4D58-9799-74CACE7E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1">
                <a:alpha val="70000"/>
              </a:schemeClr>
            </a:solidFill>
            <a:ln w="25400">
              <a:solidFill>
                <a:schemeClr val="accent1"/>
              </a:solidFill>
            </a:ln>
            <a:effectLst/>
          </c:spPr>
          <c:cat>
            <c:numRef>
              <c:f>'1'!$R$14:$R$19</c:f>
              <c:numCache>
                <c:formatCode>General</c:formatCode>
                <c:ptCount val="6"/>
                <c:pt idx="0">
                  <c:v>-0.97967166666666683</c:v>
                </c:pt>
                <c:pt idx="1">
                  <c:v>0.37472499999999964</c:v>
                </c:pt>
                <c:pt idx="2">
                  <c:v>1.729121666666666</c:v>
                </c:pt>
                <c:pt idx="3">
                  <c:v>3.0835183333333323</c:v>
                </c:pt>
                <c:pt idx="4">
                  <c:v>4.4379149999999985</c:v>
                </c:pt>
                <c:pt idx="5">
                  <c:v>5.7923116666666647</c:v>
                </c:pt>
              </c:numCache>
            </c:numRef>
          </c:cat>
          <c:val>
            <c:numRef>
              <c:f>'1'!$S$14:$S$19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12</c:v>
                </c:pt>
                <c:pt idx="3">
                  <c:v>13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A-4052-A2DB-212376405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'1'!$P$4:$Q$9</c:f>
              <c:multiLvlStrCache>
                <c:ptCount val="6"/>
                <c:lvl>
                  <c:pt idx="0">
                    <c:v>1,33432</c:v>
                  </c:pt>
                  <c:pt idx="1">
                    <c:v>1,66544</c:v>
                  </c:pt>
                  <c:pt idx="2">
                    <c:v>1,99656</c:v>
                  </c:pt>
                  <c:pt idx="3">
                    <c:v>2,32767</c:v>
                  </c:pt>
                  <c:pt idx="4">
                    <c:v>2,65879</c:v>
                  </c:pt>
                  <c:pt idx="5">
                    <c:v>2,98991</c:v>
                  </c:pt>
                </c:lvl>
                <c:lvl>
                  <c:pt idx="0">
                    <c:v>1,00320</c:v>
                  </c:pt>
                  <c:pt idx="1">
                    <c:v>1,33432</c:v>
                  </c:pt>
                  <c:pt idx="2">
                    <c:v>1,66544</c:v>
                  </c:pt>
                  <c:pt idx="3">
                    <c:v>1,99656</c:v>
                  </c:pt>
                  <c:pt idx="4">
                    <c:v>2,32767</c:v>
                  </c:pt>
                  <c:pt idx="5">
                    <c:v>2,65879</c:v>
                  </c:pt>
                </c:lvl>
              </c:multiLvlStrCache>
            </c:multiLvlStrRef>
          </c:cat>
          <c:val>
            <c:numRef>
              <c:f>'1'!$U$4:$U$9</c:f>
              <c:numCache>
                <c:formatCode>General</c:formatCode>
                <c:ptCount val="6"/>
                <c:pt idx="0">
                  <c:v>1.0268232404326751</c:v>
                </c:pt>
                <c:pt idx="1">
                  <c:v>1.08722460751695</c:v>
                </c:pt>
                <c:pt idx="2">
                  <c:v>0.66441503792702505</c:v>
                </c:pt>
                <c:pt idx="3">
                  <c:v>0.12080273416855002</c:v>
                </c:pt>
                <c:pt idx="4">
                  <c:v>0</c:v>
                </c:pt>
                <c:pt idx="5">
                  <c:v>0.12080273416855002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5-4C26-9F0A-2BAB42DD5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'1'!$P$14:$Q$19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'1'!$U$14:$U$19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9-4673-A587-6B7D7EE7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'3'!$D$11:$E$16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'3'!$I$11:$I$16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2-4B45-B6EF-4D20FF30B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Нормированное нормальное распределение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'3'!$L$11:$M$16</c:f>
              <c:multiLvlStrCache>
                <c:ptCount val="6"/>
                <c:lvl>
                  <c:pt idx="0">
                    <c:v>-1,449449035</c:v>
                  </c:pt>
                  <c:pt idx="1">
                    <c:v>-0,754439029</c:v>
                  </c:pt>
                  <c:pt idx="2">
                    <c:v>-0,059429023</c:v>
                  </c:pt>
                  <c:pt idx="3">
                    <c:v>0,635580983</c:v>
                  </c:pt>
                  <c:pt idx="4">
                    <c:v>1,330590988</c:v>
                  </c:pt>
                  <c:pt idx="5">
                    <c:v>2,025600994</c:v>
                  </c:pt>
                </c:lvl>
                <c:lvl>
                  <c:pt idx="0">
                    <c:v>-2,144459041</c:v>
                  </c:pt>
                  <c:pt idx="1">
                    <c:v>-1,449449035</c:v>
                  </c:pt>
                  <c:pt idx="2">
                    <c:v>-0,754439029</c:v>
                  </c:pt>
                  <c:pt idx="3">
                    <c:v>-0,059429023</c:v>
                  </c:pt>
                  <c:pt idx="4">
                    <c:v>0,635580983</c:v>
                  </c:pt>
                  <c:pt idx="5">
                    <c:v>1,330590988</c:v>
                  </c:pt>
                </c:lvl>
              </c:multiLvlStrCache>
            </c:multiLvlStrRef>
          </c:cat>
          <c:val>
            <c:numRef>
              <c:f>'3'!$P$11:$P$16</c:f>
              <c:numCache>
                <c:formatCode>General</c:formatCode>
                <c:ptCount val="6"/>
                <c:pt idx="0">
                  <c:v>7.3606111689107662E-2</c:v>
                </c:pt>
                <c:pt idx="1">
                  <c:v>0.15168671001202255</c:v>
                </c:pt>
                <c:pt idx="2">
                  <c:v>0.25101237664776532</c:v>
                </c:pt>
                <c:pt idx="3">
                  <c:v>0.26117001763272563</c:v>
                </c:pt>
                <c:pt idx="4">
                  <c:v>0.17086296935610923</c:v>
                </c:pt>
                <c:pt idx="5">
                  <c:v>9.1661814662269636E-2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8-49B1-905C-E1751ACF1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 2,12177 + 0,25958x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'6'!$A$6:$A$55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'6'!$B$6:$B$55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3-4224-A205-C237CB5CA16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'6'!$A$6:$A$55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'6'!$H$6:$H$55</c:f>
              <c:numCache>
                <c:formatCode>General</c:formatCode>
                <c:ptCount val="50"/>
                <c:pt idx="0">
                  <c:v>2.420562456579991</c:v>
                </c:pt>
                <c:pt idx="1">
                  <c:v>2.5880960729158105</c:v>
                </c:pt>
                <c:pt idx="2">
                  <c:v>2.8610380623638383</c:v>
                </c:pt>
                <c:pt idx="3">
                  <c:v>2.5407325184284186</c:v>
                </c:pt>
                <c:pt idx="4">
                  <c:v>2.4631655157021237</c:v>
                </c:pt>
                <c:pt idx="5">
                  <c:v>2.3821696065540685</c:v>
                </c:pt>
                <c:pt idx="6">
                  <c:v>2.3997917456133608</c:v>
                </c:pt>
                <c:pt idx="7">
                  <c:v>2.3936140035363076</c:v>
                </c:pt>
                <c:pt idx="8">
                  <c:v>2.4957751685231404</c:v>
                </c:pt>
                <c:pt idx="9">
                  <c:v>2.6823559576998912</c:v>
                </c:pt>
                <c:pt idx="10">
                  <c:v>2.6365004990724863</c:v>
                </c:pt>
                <c:pt idx="11">
                  <c:v>2.5900687972765501</c:v>
                </c:pt>
                <c:pt idx="12">
                  <c:v>2.5396007976109418</c:v>
                </c:pt>
                <c:pt idx="13">
                  <c:v>2.4732393883916375</c:v>
                </c:pt>
                <c:pt idx="14">
                  <c:v>2.4952067124244532</c:v>
                </c:pt>
                <c:pt idx="15">
                  <c:v>2.5878494823707179</c:v>
                </c:pt>
                <c:pt idx="16">
                  <c:v>2.4070648688486145</c:v>
                </c:pt>
                <c:pt idx="17">
                  <c:v>2.4987654033436302</c:v>
                </c:pt>
                <c:pt idx="18">
                  <c:v>2.4931483302954183</c:v>
                </c:pt>
                <c:pt idx="19">
                  <c:v>2.4413539330662077</c:v>
                </c:pt>
                <c:pt idx="20">
                  <c:v>2.3891520125151082</c:v>
                </c:pt>
                <c:pt idx="21">
                  <c:v>2.5374074396045936</c:v>
                </c:pt>
                <c:pt idx="22">
                  <c:v>2.8978579242810651</c:v>
                </c:pt>
                <c:pt idx="23">
                  <c:v>2.5905879352662184</c:v>
                </c:pt>
                <c:pt idx="24">
                  <c:v>2.4242665061362745</c:v>
                </c:pt>
                <c:pt idx="25">
                  <c:v>2.599101798296779</c:v>
                </c:pt>
                <c:pt idx="26">
                  <c:v>2.4805851909454448</c:v>
                </c:pt>
                <c:pt idx="27">
                  <c:v>2.4243443768347248</c:v>
                </c:pt>
                <c:pt idx="28">
                  <c:v>2.4321184682300085</c:v>
                </c:pt>
                <c:pt idx="29">
                  <c:v>2.5024668572099653</c:v>
                </c:pt>
                <c:pt idx="30">
                  <c:v>2.5352452298776242</c:v>
                </c:pt>
                <c:pt idx="31">
                  <c:v>2.5827852912815032</c:v>
                </c:pt>
                <c:pt idx="32">
                  <c:v>2.4536367379017614</c:v>
                </c:pt>
                <c:pt idx="33">
                  <c:v>2.5483015503177837</c:v>
                </c:pt>
                <c:pt idx="34">
                  <c:v>2.4673705334184373</c:v>
                </c:pt>
                <c:pt idx="35">
                  <c:v>2.484403450859455</c:v>
                </c:pt>
                <c:pt idx="36">
                  <c:v>2.4123808418628183</c:v>
                </c:pt>
                <c:pt idx="37">
                  <c:v>2.4337771141069986</c:v>
                </c:pt>
                <c:pt idx="38">
                  <c:v>2.6316076235198622</c:v>
                </c:pt>
                <c:pt idx="39">
                  <c:v>2.5455812672519214</c:v>
                </c:pt>
                <c:pt idx="40">
                  <c:v>2.3836543412045197</c:v>
                </c:pt>
                <c:pt idx="41">
                  <c:v>2.5901959860840185</c:v>
                </c:pt>
                <c:pt idx="42">
                  <c:v>2.5638185848289705</c:v>
                </c:pt>
                <c:pt idx="43">
                  <c:v>2.6676332043128967</c:v>
                </c:pt>
                <c:pt idx="44">
                  <c:v>2.5284419265230209</c:v>
                </c:pt>
                <c:pt idx="45">
                  <c:v>2.5470348536229928</c:v>
                </c:pt>
                <c:pt idx="46">
                  <c:v>2.5392425923980708</c:v>
                </c:pt>
                <c:pt idx="47">
                  <c:v>2.4562428106098961</c:v>
                </c:pt>
                <c:pt idx="48">
                  <c:v>2.5590580894637114</c:v>
                </c:pt>
                <c:pt idx="49">
                  <c:v>2.508198140615904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83-4224-A205-C237CB5CA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417647"/>
        <c:axId val="1206418063"/>
      </c:scatterChart>
      <c:valAx>
        <c:axId val="120641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418063"/>
        <c:crosses val="autoZero"/>
        <c:crossBetween val="midCat"/>
      </c:valAx>
      <c:valAx>
        <c:axId val="120641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41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  <a:r>
              <a:rPr lang="en-US" baseline="0"/>
              <a:t> = 1,51337 + 0,01151y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'6'!$B$6:$B$55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xVal>
          <c:yVal>
            <c:numRef>
              <c:f>'6'!$A$6:$A$55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5A-4648-9944-F85D471E5AE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'6'!$B$6:$B$55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xVal>
          <c:yVal>
            <c:numRef>
              <c:f>'6'!$I$6:$I$55</c:f>
              <c:numCache>
                <c:formatCode>General</c:formatCode>
                <c:ptCount val="50"/>
                <c:pt idx="0">
                  <c:v>-31.469256441361654</c:v>
                </c:pt>
                <c:pt idx="1">
                  <c:v>24.597771863452618</c:v>
                </c:pt>
                <c:pt idx="2">
                  <c:v>115.94090993121874</c:v>
                </c:pt>
                <c:pt idx="3">
                  <c:v>8.7470201866178421</c:v>
                </c:pt>
                <c:pt idx="4">
                  <c:v>-17.211658629563068</c:v>
                </c:pt>
                <c:pt idx="5">
                  <c:v>-44.317859940680066</c:v>
                </c:pt>
                <c:pt idx="6">
                  <c:v>-38.420410873215204</c:v>
                </c:pt>
                <c:pt idx="7">
                  <c:v>-40.487862453796495</c:v>
                </c:pt>
                <c:pt idx="8">
                  <c:v>-6.2984677863518392</c:v>
                </c:pt>
                <c:pt idx="9">
                  <c:v>56.142913332876475</c:v>
                </c:pt>
                <c:pt idx="10">
                  <c:v>40.796863071301289</c:v>
                </c:pt>
                <c:pt idx="11">
                  <c:v>25.257966485823115</c:v>
                </c:pt>
                <c:pt idx="12">
                  <c:v>8.3682769558895131</c:v>
                </c:pt>
                <c:pt idx="13">
                  <c:v>-13.840322669800056</c:v>
                </c:pt>
                <c:pt idx="14">
                  <c:v>-6.488708078850717</c:v>
                </c:pt>
                <c:pt idx="15">
                  <c:v>24.515247535656304</c:v>
                </c:pt>
                <c:pt idx="16">
                  <c:v>-35.986377541791356</c:v>
                </c:pt>
                <c:pt idx="17">
                  <c:v>-5.2977517271797225</c:v>
                </c:pt>
                <c:pt idx="18">
                  <c:v>-7.1775690466662461</c:v>
                </c:pt>
                <c:pt idx="19">
                  <c:v>-24.511152592430534</c:v>
                </c:pt>
                <c:pt idx="20">
                  <c:v>-41.9811184483424</c:v>
                </c:pt>
                <c:pt idx="21">
                  <c:v>7.6342447770696804</c:v>
                </c:pt>
                <c:pt idx="22">
                  <c:v>128.26309508691017</c:v>
                </c:pt>
                <c:pt idx="23">
                  <c:v>25.431701912762719</c:v>
                </c:pt>
                <c:pt idx="24">
                  <c:v>-30.22965417014758</c:v>
                </c:pt>
                <c:pt idx="25">
                  <c:v>28.280962914572218</c:v>
                </c:pt>
                <c:pt idx="26">
                  <c:v>-11.381966378604661</c:v>
                </c:pt>
                <c:pt idx="27">
                  <c:v>-30.203593856106647</c:v>
                </c:pt>
                <c:pt idx="28">
                  <c:v>-27.601905837686083</c:v>
                </c:pt>
                <c:pt idx="29">
                  <c:v>-4.0590181331003521</c:v>
                </c:pt>
                <c:pt idx="30">
                  <c:v>6.9106367238662347</c:v>
                </c:pt>
                <c:pt idx="31">
                  <c:v>22.820458445860474</c:v>
                </c:pt>
                <c:pt idx="32">
                  <c:v>-20.4005723910395</c:v>
                </c:pt>
                <c:pt idx="33">
                  <c:v>11.280082711397274</c:v>
                </c:pt>
                <c:pt idx="34">
                  <c:v>-15.804401671352277</c:v>
                </c:pt>
                <c:pt idx="35">
                  <c:v>-10.104142313463873</c:v>
                </c:pt>
                <c:pt idx="36">
                  <c:v>-34.207326769929807</c:v>
                </c:pt>
                <c:pt idx="37">
                  <c:v>-27.046821148614036</c:v>
                </c:pt>
                <c:pt idx="38">
                  <c:v>39.159406672395519</c:v>
                </c:pt>
                <c:pt idx="39">
                  <c:v>10.369709074233747</c:v>
                </c:pt>
                <c:pt idx="40">
                  <c:v>-43.820976619632802</c:v>
                </c:pt>
                <c:pt idx="41">
                  <c:v>25.300531665423307</c:v>
                </c:pt>
                <c:pt idx="42">
                  <c:v>16.473034622622031</c:v>
                </c:pt>
                <c:pt idx="43">
                  <c:v>51.215776624869321</c:v>
                </c:pt>
                <c:pt idx="44">
                  <c:v>4.6338339538227196</c:v>
                </c:pt>
                <c:pt idx="45">
                  <c:v>10.856168269664641</c:v>
                </c:pt>
                <c:pt idx="46">
                  <c:v>8.2483995113011908</c:v>
                </c:pt>
                <c:pt idx="47">
                  <c:v>-19.528420547802686</c:v>
                </c:pt>
                <c:pt idx="48">
                  <c:v>14.879880757585861</c:v>
                </c:pt>
                <c:pt idx="49">
                  <c:v>-2.1409790196871166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5A-4648-9944-F85D471E5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417647"/>
        <c:axId val="1206418063"/>
      </c:scatterChart>
      <c:valAx>
        <c:axId val="120641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418063"/>
        <c:crosses val="autoZero"/>
        <c:crossBetween val="midCat"/>
      </c:valAx>
      <c:valAx>
        <c:axId val="120641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41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'6'!$A$6:$A$57</c:f>
              <c:numCache>
                <c:formatCode>General</c:formatCode>
                <c:ptCount val="52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'6'!$H$6:$H$55</c:f>
              <c:numCache>
                <c:formatCode>General</c:formatCode>
                <c:ptCount val="50"/>
                <c:pt idx="0">
                  <c:v>2.420562456579991</c:v>
                </c:pt>
                <c:pt idx="1">
                  <c:v>2.5880960729158105</c:v>
                </c:pt>
                <c:pt idx="2">
                  <c:v>2.8610380623638383</c:v>
                </c:pt>
                <c:pt idx="3">
                  <c:v>2.5407325184284186</c:v>
                </c:pt>
                <c:pt idx="4">
                  <c:v>2.4631655157021237</c:v>
                </c:pt>
                <c:pt idx="5">
                  <c:v>2.3821696065540685</c:v>
                </c:pt>
                <c:pt idx="6">
                  <c:v>2.3997917456133608</c:v>
                </c:pt>
                <c:pt idx="7">
                  <c:v>2.3936140035363076</c:v>
                </c:pt>
                <c:pt idx="8">
                  <c:v>2.4957751685231404</c:v>
                </c:pt>
                <c:pt idx="9">
                  <c:v>2.6823559576998912</c:v>
                </c:pt>
                <c:pt idx="10">
                  <c:v>2.6365004990724863</c:v>
                </c:pt>
                <c:pt idx="11">
                  <c:v>2.5900687972765501</c:v>
                </c:pt>
                <c:pt idx="12">
                  <c:v>2.5396007976109418</c:v>
                </c:pt>
                <c:pt idx="13">
                  <c:v>2.4732393883916375</c:v>
                </c:pt>
                <c:pt idx="14">
                  <c:v>2.4952067124244532</c:v>
                </c:pt>
                <c:pt idx="15">
                  <c:v>2.5878494823707179</c:v>
                </c:pt>
                <c:pt idx="16">
                  <c:v>2.4070648688486145</c:v>
                </c:pt>
                <c:pt idx="17">
                  <c:v>2.4987654033436302</c:v>
                </c:pt>
                <c:pt idx="18">
                  <c:v>2.4931483302954183</c:v>
                </c:pt>
                <c:pt idx="19">
                  <c:v>2.4413539330662077</c:v>
                </c:pt>
                <c:pt idx="20">
                  <c:v>2.3891520125151082</c:v>
                </c:pt>
                <c:pt idx="21">
                  <c:v>2.5374074396045936</c:v>
                </c:pt>
                <c:pt idx="22">
                  <c:v>2.8978579242810651</c:v>
                </c:pt>
                <c:pt idx="23">
                  <c:v>2.5905879352662184</c:v>
                </c:pt>
                <c:pt idx="24">
                  <c:v>2.4242665061362745</c:v>
                </c:pt>
                <c:pt idx="25">
                  <c:v>2.599101798296779</c:v>
                </c:pt>
                <c:pt idx="26">
                  <c:v>2.4805851909454448</c:v>
                </c:pt>
                <c:pt idx="27">
                  <c:v>2.4243443768347248</c:v>
                </c:pt>
                <c:pt idx="28">
                  <c:v>2.4321184682300085</c:v>
                </c:pt>
                <c:pt idx="29">
                  <c:v>2.5024668572099653</c:v>
                </c:pt>
                <c:pt idx="30">
                  <c:v>2.5352452298776242</c:v>
                </c:pt>
                <c:pt idx="31">
                  <c:v>2.5827852912815032</c:v>
                </c:pt>
                <c:pt idx="32">
                  <c:v>2.4536367379017614</c:v>
                </c:pt>
                <c:pt idx="33">
                  <c:v>2.5483015503177837</c:v>
                </c:pt>
                <c:pt idx="34">
                  <c:v>2.4673705334184373</c:v>
                </c:pt>
                <c:pt idx="35">
                  <c:v>2.484403450859455</c:v>
                </c:pt>
                <c:pt idx="36">
                  <c:v>2.4123808418628183</c:v>
                </c:pt>
                <c:pt idx="37">
                  <c:v>2.4337771141069986</c:v>
                </c:pt>
                <c:pt idx="38">
                  <c:v>2.6316076235198622</c:v>
                </c:pt>
                <c:pt idx="39">
                  <c:v>2.5455812672519214</c:v>
                </c:pt>
                <c:pt idx="40">
                  <c:v>2.3836543412045197</c:v>
                </c:pt>
                <c:pt idx="41">
                  <c:v>2.5901959860840185</c:v>
                </c:pt>
                <c:pt idx="42">
                  <c:v>2.5638185848289705</c:v>
                </c:pt>
                <c:pt idx="43">
                  <c:v>2.6676332043128967</c:v>
                </c:pt>
                <c:pt idx="44">
                  <c:v>2.5284419265230209</c:v>
                </c:pt>
                <c:pt idx="45">
                  <c:v>2.5470348536229928</c:v>
                </c:pt>
                <c:pt idx="46">
                  <c:v>2.5392425923980708</c:v>
                </c:pt>
                <c:pt idx="47">
                  <c:v>2.4562428106098961</c:v>
                </c:pt>
                <c:pt idx="48">
                  <c:v>2.5590580894637114</c:v>
                </c:pt>
                <c:pt idx="49">
                  <c:v>2.508198140615904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31-4DD7-97E4-CE71FEA278CE}"/>
            </c:ext>
          </c:extLst>
        </c:ser>
        <c:ser>
          <c:idx val="1"/>
          <c:order val="1"/>
          <c:tx>
            <c:strRef>
              <c:f>'6'!$A$6:$A$55</c:f>
              <c:strCache>
                <c:ptCount val="50"/>
                <c:pt idx="0">
                  <c:v>1,15111</c:v>
                </c:pt>
                <c:pt idx="1">
                  <c:v>1,79654</c:v>
                </c:pt>
                <c:pt idx="2">
                  <c:v>2,84806</c:v>
                </c:pt>
                <c:pt idx="3">
                  <c:v>1,61407</c:v>
                </c:pt>
                <c:pt idx="4">
                  <c:v>1,31524</c:v>
                </c:pt>
                <c:pt idx="5">
                  <c:v>1,0032</c:v>
                </c:pt>
                <c:pt idx="6">
                  <c:v>1,07109</c:v>
                </c:pt>
                <c:pt idx="7">
                  <c:v>1,04729</c:v>
                </c:pt>
                <c:pt idx="8">
                  <c:v>1,44087</c:v>
                </c:pt>
                <c:pt idx="9">
                  <c:v>2,15968</c:v>
                </c:pt>
                <c:pt idx="10">
                  <c:v>1,98302</c:v>
                </c:pt>
                <c:pt idx="11">
                  <c:v>1,80414</c:v>
                </c:pt>
                <c:pt idx="12">
                  <c:v>1,60971</c:v>
                </c:pt>
                <c:pt idx="13">
                  <c:v>1,35405</c:v>
                </c:pt>
                <c:pt idx="14">
                  <c:v>1,43868</c:v>
                </c:pt>
                <c:pt idx="15">
                  <c:v>1,79559</c:v>
                </c:pt>
                <c:pt idx="16">
                  <c:v>1,09911</c:v>
                </c:pt>
                <c:pt idx="17">
                  <c:v>1,45239</c:v>
                </c:pt>
                <c:pt idx="18">
                  <c:v>1,43075</c:v>
                </c:pt>
                <c:pt idx="19">
                  <c:v>1,23121</c:v>
                </c:pt>
                <c:pt idx="20">
                  <c:v>1,0301</c:v>
                </c:pt>
                <c:pt idx="21">
                  <c:v>1,60126</c:v>
                </c:pt>
                <c:pt idx="22">
                  <c:v>2,98991</c:v>
                </c:pt>
                <c:pt idx="23">
                  <c:v>1,80614</c:v>
                </c:pt>
                <c:pt idx="24">
                  <c:v>1,16538</c:v>
                </c:pt>
                <c:pt idx="25">
                  <c:v>1,83894</c:v>
                </c:pt>
                <c:pt idx="26">
                  <c:v>1,38235</c:v>
                </c:pt>
                <c:pt idx="27">
                  <c:v>1,16568</c:v>
                </c:pt>
                <c:pt idx="28">
                  <c:v>1,19563</c:v>
                </c:pt>
                <c:pt idx="29">
                  <c:v>1,46665</c:v>
                </c:pt>
                <c:pt idx="30">
                  <c:v>1,59293</c:v>
                </c:pt>
                <c:pt idx="31">
                  <c:v>1,77608</c:v>
                </c:pt>
                <c:pt idx="32">
                  <c:v>1,27853</c:v>
                </c:pt>
                <c:pt idx="33">
                  <c:v>1,64323</c:v>
                </c:pt>
                <c:pt idx="34">
                  <c:v>1,33144</c:v>
                </c:pt>
                <c:pt idx="35">
                  <c:v>1,39706</c:v>
                </c:pt>
                <c:pt idx="36">
                  <c:v>1,11959</c:v>
                </c:pt>
                <c:pt idx="37">
                  <c:v>1,20202</c:v>
                </c:pt>
                <c:pt idx="38">
                  <c:v>1,96417</c:v>
                </c:pt>
                <c:pt idx="39">
                  <c:v>1,63275</c:v>
                </c:pt>
                <c:pt idx="40">
                  <c:v>1,00892</c:v>
                </c:pt>
                <c:pt idx="41">
                  <c:v>1,80463</c:v>
                </c:pt>
                <c:pt idx="42">
                  <c:v>1,70301</c:v>
                </c:pt>
                <c:pt idx="43">
                  <c:v>2,10296</c:v>
                </c:pt>
                <c:pt idx="44">
                  <c:v>1,56672</c:v>
                </c:pt>
                <c:pt idx="45">
                  <c:v>1,63835</c:v>
                </c:pt>
                <c:pt idx="46">
                  <c:v>1,60833</c:v>
                </c:pt>
                <c:pt idx="47">
                  <c:v>1,28857</c:v>
                </c:pt>
                <c:pt idx="48">
                  <c:v>1,68467</c:v>
                </c:pt>
                <c:pt idx="49">
                  <c:v>1,48873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'6'!$A$6:$A$55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'6'!$I$6:$I$55</c:f>
              <c:numCache>
                <c:formatCode>General</c:formatCode>
                <c:ptCount val="50"/>
                <c:pt idx="0">
                  <c:v>-31.469256441361654</c:v>
                </c:pt>
                <c:pt idx="1">
                  <c:v>24.597771863452618</c:v>
                </c:pt>
                <c:pt idx="2">
                  <c:v>115.94090993121874</c:v>
                </c:pt>
                <c:pt idx="3">
                  <c:v>8.7470201866178421</c:v>
                </c:pt>
                <c:pt idx="4">
                  <c:v>-17.211658629563068</c:v>
                </c:pt>
                <c:pt idx="5">
                  <c:v>-44.317859940680066</c:v>
                </c:pt>
                <c:pt idx="6">
                  <c:v>-38.420410873215204</c:v>
                </c:pt>
                <c:pt idx="7">
                  <c:v>-40.487862453796495</c:v>
                </c:pt>
                <c:pt idx="8">
                  <c:v>-6.2984677863518392</c:v>
                </c:pt>
                <c:pt idx="9">
                  <c:v>56.142913332876475</c:v>
                </c:pt>
                <c:pt idx="10">
                  <c:v>40.796863071301289</c:v>
                </c:pt>
                <c:pt idx="11">
                  <c:v>25.257966485823115</c:v>
                </c:pt>
                <c:pt idx="12">
                  <c:v>8.3682769558895131</c:v>
                </c:pt>
                <c:pt idx="13">
                  <c:v>-13.840322669800056</c:v>
                </c:pt>
                <c:pt idx="14">
                  <c:v>-6.488708078850717</c:v>
                </c:pt>
                <c:pt idx="15">
                  <c:v>24.515247535656304</c:v>
                </c:pt>
                <c:pt idx="16">
                  <c:v>-35.986377541791356</c:v>
                </c:pt>
                <c:pt idx="17">
                  <c:v>-5.2977517271797225</c:v>
                </c:pt>
                <c:pt idx="18">
                  <c:v>-7.1775690466662461</c:v>
                </c:pt>
                <c:pt idx="19">
                  <c:v>-24.511152592430534</c:v>
                </c:pt>
                <c:pt idx="20">
                  <c:v>-41.9811184483424</c:v>
                </c:pt>
                <c:pt idx="21">
                  <c:v>7.6342447770696804</c:v>
                </c:pt>
                <c:pt idx="22">
                  <c:v>128.26309508691017</c:v>
                </c:pt>
                <c:pt idx="23">
                  <c:v>25.431701912762719</c:v>
                </c:pt>
                <c:pt idx="24">
                  <c:v>-30.22965417014758</c:v>
                </c:pt>
                <c:pt idx="25">
                  <c:v>28.280962914572218</c:v>
                </c:pt>
                <c:pt idx="26">
                  <c:v>-11.381966378604661</c:v>
                </c:pt>
                <c:pt idx="27">
                  <c:v>-30.203593856106647</c:v>
                </c:pt>
                <c:pt idx="28">
                  <c:v>-27.601905837686083</c:v>
                </c:pt>
                <c:pt idx="29">
                  <c:v>-4.0590181331003521</c:v>
                </c:pt>
                <c:pt idx="30">
                  <c:v>6.9106367238662347</c:v>
                </c:pt>
                <c:pt idx="31">
                  <c:v>22.820458445860474</c:v>
                </c:pt>
                <c:pt idx="32">
                  <c:v>-20.4005723910395</c:v>
                </c:pt>
                <c:pt idx="33">
                  <c:v>11.280082711397274</c:v>
                </c:pt>
                <c:pt idx="34">
                  <c:v>-15.804401671352277</c:v>
                </c:pt>
                <c:pt idx="35">
                  <c:v>-10.104142313463873</c:v>
                </c:pt>
                <c:pt idx="36">
                  <c:v>-34.207326769929807</c:v>
                </c:pt>
                <c:pt idx="37">
                  <c:v>-27.046821148614036</c:v>
                </c:pt>
                <c:pt idx="38">
                  <c:v>39.159406672395519</c:v>
                </c:pt>
                <c:pt idx="39">
                  <c:v>10.369709074233747</c:v>
                </c:pt>
                <c:pt idx="40">
                  <c:v>-43.820976619632802</c:v>
                </c:pt>
                <c:pt idx="41">
                  <c:v>25.300531665423307</c:v>
                </c:pt>
                <c:pt idx="42">
                  <c:v>16.473034622622031</c:v>
                </c:pt>
                <c:pt idx="43">
                  <c:v>51.215776624869321</c:v>
                </c:pt>
                <c:pt idx="44">
                  <c:v>4.6338339538227196</c:v>
                </c:pt>
                <c:pt idx="45">
                  <c:v>10.856168269664641</c:v>
                </c:pt>
                <c:pt idx="46">
                  <c:v>8.2483995113011908</c:v>
                </c:pt>
                <c:pt idx="47">
                  <c:v>-19.528420547802686</c:v>
                </c:pt>
                <c:pt idx="48">
                  <c:v>14.879880757585861</c:v>
                </c:pt>
                <c:pt idx="49">
                  <c:v>-2.1409790196871166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31-4DD7-97E4-CE71FEA27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573887"/>
        <c:axId val="1213574303"/>
      </c:scatterChart>
      <c:valAx>
        <c:axId val="121357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3574303"/>
        <c:crosses val="autoZero"/>
        <c:crossBetween val="midCat"/>
      </c:valAx>
      <c:valAx>
        <c:axId val="121357430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357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609437</xdr:colOff>
      <xdr:row>22</xdr:row>
      <xdr:rowOff>6432</xdr:rowOff>
    </xdr:from>
    <xdr:to>
      <xdr:col>15</xdr:col>
      <xdr:colOff>260598</xdr:colOff>
      <xdr:row>37</xdr:row>
      <xdr:rowOff>19957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59E890-3ADE-4110-9DB7-1765AB388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11545</xdr:rowOff>
    </xdr:from>
    <xdr:to>
      <xdr:col>22</xdr:col>
      <xdr:colOff>32161</xdr:colOff>
      <xdr:row>37</xdr:row>
      <xdr:rowOff>25070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20FA587-03A4-4260-86CD-D8E4F7527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848592</xdr:colOff>
      <xdr:row>2</xdr:row>
      <xdr:rowOff>13855</xdr:rowOff>
    </xdr:from>
    <xdr:to>
      <xdr:col>28</xdr:col>
      <xdr:colOff>136072</xdr:colOff>
      <xdr:row>15</xdr:row>
      <xdr:rowOff>174914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7F77B4B-49CA-403A-A43F-B925AB7BD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852712</xdr:colOff>
      <xdr:row>17</xdr:row>
      <xdr:rowOff>0</xdr:rowOff>
    </xdr:from>
    <xdr:to>
      <xdr:col>28</xdr:col>
      <xdr:colOff>145142</xdr:colOff>
      <xdr:row>32</xdr:row>
      <xdr:rowOff>127814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F10BAB2-C21E-4BEB-9E40-97494CE38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51685</xdr:colOff>
      <xdr:row>4</xdr:row>
      <xdr:rowOff>163688</xdr:rowOff>
    </xdr:from>
    <xdr:ext cx="4614825" cy="584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</a:t>
              </a:r>
              <a:r>
                <a:rPr lang="en-US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𝑛≤𝑎≤𝑥 ̅+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</a:t>
              </a:r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121354</xdr:colOff>
      <xdr:row>2</xdr:row>
      <xdr:rowOff>121354</xdr:rowOff>
    </xdr:from>
    <xdr:ext cx="4471320" cy="546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(𝑛−1)≤𝑎≤𝑥 ̅+𝑠/√𝑛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206021</xdr:colOff>
      <xdr:row>2</xdr:row>
      <xdr:rowOff>22577</xdr:rowOff>
    </xdr:from>
    <xdr:ext cx="2672645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grow m:val="on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8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sz="180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𝑠^2=1/(𝑛−1) ∑129_(𝑖=1)^𝑛▒(𝑥_𝑖−𝑥 ̅ )^2 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1124729</xdr:colOff>
      <xdr:row>2</xdr:row>
      <xdr:rowOff>105561</xdr:rowOff>
    </xdr:from>
    <xdr:ext cx="882742" cy="356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6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6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6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𝑡_(𝑎/2) (𝑛−1)</a:t>
              </a:r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695103</xdr:colOff>
      <xdr:row>6</xdr:row>
      <xdr:rowOff>156201</xdr:rowOff>
    </xdr:from>
    <xdr:ext cx="405687" cy="1913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1229783</xdr:colOff>
      <xdr:row>6</xdr:row>
      <xdr:rowOff>151883</xdr:rowOff>
    </xdr:from>
    <xdr:ext cx="405687" cy="1961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2433595</xdr:colOff>
      <xdr:row>6</xdr:row>
      <xdr:rowOff>527751</xdr:rowOff>
    </xdr:from>
    <xdr:ext cx="113941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2712353</xdr:colOff>
      <xdr:row>6</xdr:row>
      <xdr:rowOff>548422</xdr:rowOff>
    </xdr:from>
    <xdr:ext cx="369268" cy="266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14:m>
                <m:oMath xmlns:m="http://schemas.openxmlformats.org/officeDocument/2006/math">
                  <m:r>
                    <a:rPr lang="ru-RU" sz="130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ru-RU" sz="13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3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𝑎</m:t>
                      </m:r>
                    </m:num>
                    <m:den>
                      <m:r>
                        <a:rPr lang="ru-RU" sz="130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:r>
                <a:rPr lang="ru-RU" sz="13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r>
                <a:rPr lang="ru-RU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ru-RU" sz="13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0</xdr:colOff>
      <xdr:row>2</xdr:row>
      <xdr:rowOff>0</xdr:rowOff>
    </xdr:from>
    <xdr:to>
      <xdr:col>22</xdr:col>
      <xdr:colOff>488951</xdr:colOff>
      <xdr:row>16</xdr:row>
      <xdr:rowOff>158750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D959A49-3604-484B-A733-44B83E5C1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93700"/>
          <a:ext cx="8108950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23</xdr:col>
      <xdr:colOff>476250</xdr:colOff>
      <xdr:row>49</xdr:row>
      <xdr:rowOff>148167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CD4450F-E2C5-4A6D-853B-7DDE98F2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6700" y="5949950"/>
          <a:ext cx="885825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51686</xdr:colOff>
      <xdr:row>6</xdr:row>
      <xdr:rowOff>129805</xdr:rowOff>
    </xdr:from>
    <xdr:ext cx="4607441" cy="626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((𝑛−1) 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 )&lt;𝑎&lt;((𝑛−1) 𝑠^2)/(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 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244443</xdr:colOff>
      <xdr:row>7</xdr:row>
      <xdr:rowOff>163988</xdr:rowOff>
    </xdr:from>
    <xdr:ext cx="792268" cy="372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((𝒏_𝒌−𝒏𝒑_𝒌 )^𝟐)/(𝒏𝒑_𝒌 )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15</xdr:col>
      <xdr:colOff>69850</xdr:colOff>
      <xdr:row>17</xdr:row>
      <xdr:rowOff>15875</xdr:rowOff>
    </xdr:from>
    <xdr:ext cx="1329659" cy="459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p>
                      <m:e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‍</m:t>
                        </m:r>
                      </m:e>
                    </m:nary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𝜒_𝐵^2=∑1_(𝑘=1)^𝑟▒‍  ((𝑛_𝑘−𝑛𝑝_𝑘 )^2)/(𝑛𝑝_𝑘 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0</xdr:colOff>
      <xdr:row>24</xdr:row>
      <xdr:rowOff>0</xdr:rowOff>
    </xdr:from>
    <xdr:to>
      <xdr:col>5</xdr:col>
      <xdr:colOff>1212084</xdr:colOff>
      <xdr:row>39</xdr:row>
      <xdr:rowOff>109497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C9DAB7E-0134-45E8-861B-C5CC5B274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11</xdr:col>
      <xdr:colOff>97693</xdr:colOff>
      <xdr:row>39</xdr:row>
      <xdr:rowOff>109497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8BA6A19-159F-45FD-8DA5-7AC7D4428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6350</xdr:rowOff>
    </xdr:from>
    <xdr:ext cx="61531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9015E46-4882-4BE0-A491-671B4A20D0DF}"/>
                </a:ext>
              </a:extLst>
            </xdr:cNvPr>
            <xdr:cNvSpPr txBox="1"/>
          </xdr:nvSpPr>
          <xdr:spPr>
            <a:xfrm>
              <a:off x="5183372" y="188482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9015E46-4882-4BE0-A491-671B4A20D0DF}"/>
                </a:ext>
              </a:extLst>
            </xdr:cNvPr>
            <xdr:cNvSpPr txBox="1"/>
          </xdr:nvSpPr>
          <xdr:spPr>
            <a:xfrm>
              <a:off x="5183372" y="188482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𝒌−𝟏</a:t>
              </a:r>
              <a:r>
                <a:rPr lang="ru-RU" sz="1100" b="1" i="0">
                  <a:latin typeface="Cambria Math" panose="02040503050406030204" pitchFamily="18" charset="0"/>
                </a:rPr>
                <a:t>)/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12701</xdr:colOff>
      <xdr:row>0</xdr:row>
      <xdr:rowOff>6838</xdr:rowOff>
    </xdr:from>
    <xdr:ext cx="597687" cy="418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3E6FBA1-82D0-4685-8506-0CD89B85CAF9}"/>
                </a:ext>
              </a:extLst>
            </xdr:cNvPr>
            <xdr:cNvSpPr txBox="1"/>
          </xdr:nvSpPr>
          <xdr:spPr>
            <a:xfrm>
              <a:off x="5811383" y="188970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3E6FBA1-82D0-4685-8506-0CD89B85CAF9}"/>
                </a:ext>
              </a:extLst>
            </xdr:cNvPr>
            <xdr:cNvSpPr txBox="1"/>
          </xdr:nvSpPr>
          <xdr:spPr>
            <a:xfrm>
              <a:off x="5811383" y="188970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640</xdr:colOff>
      <xdr:row>0</xdr:row>
      <xdr:rowOff>1</xdr:rowOff>
    </xdr:from>
    <xdr:ext cx="831259" cy="431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893B121-B013-481B-828A-77FFBFBFB63F}"/>
                </a:ext>
              </a:extLst>
            </xdr:cNvPr>
            <xdr:cNvSpPr txBox="1"/>
          </xdr:nvSpPr>
          <xdr:spPr>
            <a:xfrm>
              <a:off x="6414632" y="182133"/>
              <a:ext cx="831259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893B121-B013-481B-828A-77FFBFBFB63F}"/>
                </a:ext>
              </a:extLst>
            </xdr:cNvPr>
            <xdr:cNvSpPr txBox="1"/>
          </xdr:nvSpPr>
          <xdr:spPr>
            <a:xfrm>
              <a:off x="6414632" y="182133"/>
              <a:ext cx="831259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𝑭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𝟎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9</xdr:col>
      <xdr:colOff>6350</xdr:colOff>
      <xdr:row>0</xdr:row>
      <xdr:rowOff>6350</xdr:rowOff>
    </xdr:from>
    <xdr:ext cx="825331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AFDC0B5-8DD8-4EEE-A76F-E55EA8261022}"/>
                </a:ext>
              </a:extLst>
            </xdr:cNvPr>
            <xdr:cNvSpPr txBox="1"/>
          </xdr:nvSpPr>
          <xdr:spPr>
            <a:xfrm>
              <a:off x="7896085" y="191792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𝒌</m:t>
                            </m:r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AFDC0B5-8DD8-4EEE-A76F-E55EA8261022}"/>
                </a:ext>
              </a:extLst>
            </xdr:cNvPr>
            <xdr:cNvSpPr txBox="1"/>
          </xdr:nvSpPr>
          <xdr:spPr>
            <a:xfrm>
              <a:off x="7896085" y="191792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ru-RU" sz="1100" b="1" i="0">
                  <a:latin typeface="Cambria Math" panose="02040503050406030204" pitchFamily="18" charset="0"/>
                </a:rPr>
                <a:t>/</a:t>
              </a:r>
              <a:r>
                <a:rPr lang="en-US" sz="1100" b="1" i="0">
                  <a:latin typeface="Cambria Math" panose="02040503050406030204" pitchFamily="18" charset="0"/>
                </a:rPr>
                <a:t>𝒏−𝑭_𝟎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5620</xdr:colOff>
      <xdr:row>0</xdr:row>
      <xdr:rowOff>5619</xdr:rowOff>
    </xdr:from>
    <xdr:ext cx="831681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3A28A9-2D33-4F27-A218-6EA91C53EE57}"/>
                </a:ext>
              </a:extLst>
            </xdr:cNvPr>
            <xdr:cNvSpPr txBox="1"/>
          </xdr:nvSpPr>
          <xdr:spPr>
            <a:xfrm>
              <a:off x="8721416" y="191061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3A28A9-2D33-4F27-A218-6EA91C53EE57}"/>
                </a:ext>
              </a:extLst>
            </xdr:cNvPr>
            <xdr:cNvSpPr txBox="1"/>
          </xdr:nvSpPr>
          <xdr:spPr>
            <a:xfrm>
              <a:off x="8721416" y="191061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𝟎−(𝒌−𝟏)/𝒏|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17</xdr:col>
      <xdr:colOff>58605</xdr:colOff>
      <xdr:row>3</xdr:row>
      <xdr:rowOff>170176</xdr:rowOff>
    </xdr:from>
    <xdr:ext cx="2469266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B2F9B13-2F47-481D-870A-00E42159CF17}"/>
                </a:ext>
              </a:extLst>
            </xdr:cNvPr>
            <xdr:cNvSpPr txBox="1"/>
          </xdr:nvSpPr>
          <xdr:spPr>
            <a:xfrm>
              <a:off x="13778234" y="953947"/>
              <a:ext cx="2469266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ru-RU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sup</m:t>
                        </m:r>
                      </m:e>
                      <m:lim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1≤</m:t>
                        </m:r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lim>
                    </m:limLow>
                    <m:d>
                      <m:dPr>
                        <m:begChr m:val="["/>
                        <m:endChr m:val="]"/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ru-RU" sz="110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−1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B2F9B13-2F47-481D-870A-00E42159CF17}"/>
                </a:ext>
              </a:extLst>
            </xdr:cNvPr>
            <xdr:cNvSpPr txBox="1"/>
          </xdr:nvSpPr>
          <xdr:spPr>
            <a:xfrm>
              <a:off x="13778234" y="953947"/>
              <a:ext cx="2469266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𝐷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𝑛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=sup┬(1≤𝑘≤𝑛) [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𝑘/𝑛−𝐹_0 (𝑥_𝑘 ),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𝐹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 )−(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𝑘−1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𝑛]</a:t>
              </a:r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17</xdr:col>
      <xdr:colOff>34612</xdr:colOff>
      <xdr:row>2</xdr:row>
      <xdr:rowOff>786</xdr:rowOff>
    </xdr:from>
    <xdr:ext cx="8411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D090FB-B25A-412E-9050-AD27561D9D84}"/>
                </a:ext>
              </a:extLst>
            </xdr:cNvPr>
            <xdr:cNvSpPr txBox="1"/>
          </xdr:nvSpPr>
          <xdr:spPr>
            <a:xfrm>
              <a:off x="13754241" y="606757"/>
              <a:ext cx="8411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d>
                      <m:d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  <m:r>
                      <a:rPr lang="ru-RU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=1−</m:t>
                    </m:r>
                    <m:r>
                      <a:rPr lang="ru-RU" sz="11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D090FB-B25A-412E-9050-AD27561D9D84}"/>
                </a:ext>
              </a:extLst>
            </xdr:cNvPr>
            <xdr:cNvSpPr txBox="1"/>
          </xdr:nvSpPr>
          <xdr:spPr>
            <a:xfrm>
              <a:off x="13754241" y="606757"/>
              <a:ext cx="8411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𝐾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(𝑧)=1−𝛼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3628</xdr:colOff>
      <xdr:row>6</xdr:row>
      <xdr:rowOff>174172</xdr:rowOff>
    </xdr:from>
    <xdr:ext cx="914399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9BBAC2-8A91-48A9-AA79-4B9FF027AD36}"/>
                </a:ext>
              </a:extLst>
            </xdr:cNvPr>
            <xdr:cNvSpPr txBox="1"/>
          </xdr:nvSpPr>
          <xdr:spPr>
            <a:xfrm>
              <a:off x="11589657" y="1491343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</m:rad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9BBAC2-8A91-48A9-AA79-4B9FF027AD36}"/>
                </a:ext>
              </a:extLst>
            </xdr:cNvPr>
            <xdr:cNvSpPr txBox="1"/>
          </xdr:nvSpPr>
          <xdr:spPr>
            <a:xfrm>
              <a:off x="11589657" y="1491343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√𝒏 𝑫_𝒏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2425</xdr:colOff>
      <xdr:row>1</xdr:row>
      <xdr:rowOff>2540</xdr:rowOff>
    </xdr:from>
    <xdr:ext cx="602095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7CA91F-38E0-473C-BB99-4A64924DA469}"/>
                </a:ext>
              </a:extLst>
            </xdr:cNvPr>
            <xdr:cNvSpPr txBox="1"/>
          </xdr:nvSpPr>
          <xdr:spPr>
            <a:xfrm>
              <a:off x="10159885" y="429260"/>
              <a:ext cx="6020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7CA91F-38E0-473C-BB99-4A64924DA469}"/>
                </a:ext>
              </a:extLst>
            </xdr:cNvPr>
            <xdr:cNvSpPr txBox="1"/>
          </xdr:nvSpPr>
          <xdr:spPr>
            <a:xfrm>
              <a:off x="10159885" y="429260"/>
              <a:ext cx="6020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(𝑫_𝒏^+)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2540</xdr:colOff>
      <xdr:row>2</xdr:row>
      <xdr:rowOff>3594</xdr:rowOff>
    </xdr:from>
    <xdr:ext cx="6045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89FBF55-6197-4614-80D5-8E34929F5B42}"/>
                </a:ext>
              </a:extLst>
            </xdr:cNvPr>
            <xdr:cNvSpPr txBox="1"/>
          </xdr:nvSpPr>
          <xdr:spPr>
            <a:xfrm>
              <a:off x="10160000" y="608114"/>
              <a:ext cx="604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89FBF55-6197-4614-80D5-8E34929F5B42}"/>
                </a:ext>
              </a:extLst>
            </xdr:cNvPr>
            <xdr:cNvSpPr txBox="1"/>
          </xdr:nvSpPr>
          <xdr:spPr>
            <a:xfrm>
              <a:off x="10160000" y="608114"/>
              <a:ext cx="604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(𝑫_𝒏^−)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11</xdr:row>
      <xdr:rowOff>0</xdr:rowOff>
    </xdr:from>
    <xdr:ext cx="914399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698CE27-E9E6-4F2D-8BBF-ACBD4E574C86}"/>
                </a:ext>
              </a:extLst>
            </xdr:cNvPr>
            <xdr:cNvSpPr txBox="1"/>
          </xdr:nvSpPr>
          <xdr:spPr>
            <a:xfrm>
              <a:off x="12185000" y="2225000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</m:rad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𝒛</m:t>
                    </m:r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698CE27-E9E6-4F2D-8BBF-ACBD4E574C86}"/>
                </a:ext>
              </a:extLst>
            </xdr:cNvPr>
            <xdr:cNvSpPr txBox="1"/>
          </xdr:nvSpPr>
          <xdr:spPr>
            <a:xfrm>
              <a:off x="12185000" y="2225000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√𝒏 𝑫_𝒏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&lt;𝒛?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</xdr:row>
      <xdr:rowOff>6350</xdr:rowOff>
    </xdr:from>
    <xdr:ext cx="61531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6D8862-5A3D-48F1-9820-70A2DCAEE2BE}"/>
                </a:ext>
              </a:extLst>
            </xdr:cNvPr>
            <xdr:cNvSpPr txBox="1"/>
          </xdr:nvSpPr>
          <xdr:spPr>
            <a:xfrm>
              <a:off x="5187950" y="190500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6D8862-5A3D-48F1-9820-70A2DCAEE2BE}"/>
                </a:ext>
              </a:extLst>
            </xdr:cNvPr>
            <xdr:cNvSpPr txBox="1"/>
          </xdr:nvSpPr>
          <xdr:spPr>
            <a:xfrm>
              <a:off x="5187950" y="190500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𝒌−𝟏</a:t>
              </a:r>
              <a:r>
                <a:rPr lang="ru-RU" sz="1100" b="1" i="0">
                  <a:latin typeface="Cambria Math" panose="02040503050406030204" pitchFamily="18" charset="0"/>
                </a:rPr>
                <a:t>)/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4</xdr:col>
      <xdr:colOff>12701</xdr:colOff>
      <xdr:row>4</xdr:row>
      <xdr:rowOff>6838</xdr:rowOff>
    </xdr:from>
    <xdr:ext cx="597687" cy="418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F22644-B1C9-40A7-B5BE-0D115FCB93B2}"/>
                </a:ext>
              </a:extLst>
            </xdr:cNvPr>
            <xdr:cNvSpPr txBox="1"/>
          </xdr:nvSpPr>
          <xdr:spPr>
            <a:xfrm>
              <a:off x="5816601" y="190988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F22644-B1C9-40A7-B5BE-0D115FCB93B2}"/>
                </a:ext>
              </a:extLst>
            </xdr:cNvPr>
            <xdr:cNvSpPr txBox="1"/>
          </xdr:nvSpPr>
          <xdr:spPr>
            <a:xfrm>
              <a:off x="5816601" y="190988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640</xdr:colOff>
      <xdr:row>4</xdr:row>
      <xdr:rowOff>1</xdr:rowOff>
    </xdr:from>
    <xdr:ext cx="623021" cy="431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C85721-1E66-4F59-A319-01A1F579714D}"/>
                </a:ext>
              </a:extLst>
            </xdr:cNvPr>
            <xdr:cNvSpPr txBox="1"/>
          </xdr:nvSpPr>
          <xdr:spPr>
            <a:xfrm>
              <a:off x="3946711" y="544287"/>
              <a:ext cx="623021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C85721-1E66-4F59-A319-01A1F579714D}"/>
                </a:ext>
              </a:extLst>
            </xdr:cNvPr>
            <xdr:cNvSpPr txBox="1"/>
          </xdr:nvSpPr>
          <xdr:spPr>
            <a:xfrm>
              <a:off x="3946711" y="544287"/>
              <a:ext cx="623021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𝑭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𝟎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7</xdr:col>
      <xdr:colOff>6350</xdr:colOff>
      <xdr:row>4</xdr:row>
      <xdr:rowOff>6350</xdr:rowOff>
    </xdr:from>
    <xdr:ext cx="825331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CE722D-2419-49B4-A82D-FB58A4F05E21}"/>
                </a:ext>
              </a:extLst>
            </xdr:cNvPr>
            <xdr:cNvSpPr txBox="1"/>
          </xdr:nvSpPr>
          <xdr:spPr>
            <a:xfrm>
              <a:off x="7880350" y="190500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𝒌</m:t>
                            </m:r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CE722D-2419-49B4-A82D-FB58A4F05E21}"/>
                </a:ext>
              </a:extLst>
            </xdr:cNvPr>
            <xdr:cNvSpPr txBox="1"/>
          </xdr:nvSpPr>
          <xdr:spPr>
            <a:xfrm>
              <a:off x="7880350" y="190500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ru-RU" sz="1100" b="1" i="0">
                  <a:latin typeface="Cambria Math" panose="02040503050406030204" pitchFamily="18" charset="0"/>
                </a:rPr>
                <a:t>/</a:t>
              </a:r>
              <a:r>
                <a:rPr lang="en-US" sz="1100" b="1" i="0">
                  <a:latin typeface="Cambria Math" panose="02040503050406030204" pitchFamily="18" charset="0"/>
                </a:rPr>
                <a:t>𝒏−𝑭_𝟎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8</xdr:col>
      <xdr:colOff>5620</xdr:colOff>
      <xdr:row>4</xdr:row>
      <xdr:rowOff>5619</xdr:rowOff>
    </xdr:from>
    <xdr:ext cx="831681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A0C7822-C629-476A-962E-27F05D05112D}"/>
                </a:ext>
              </a:extLst>
            </xdr:cNvPr>
            <xdr:cNvSpPr txBox="1"/>
          </xdr:nvSpPr>
          <xdr:spPr>
            <a:xfrm>
              <a:off x="8705120" y="189769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A0C7822-C629-476A-962E-27F05D05112D}"/>
                </a:ext>
              </a:extLst>
            </xdr:cNvPr>
            <xdr:cNvSpPr txBox="1"/>
          </xdr:nvSpPr>
          <xdr:spPr>
            <a:xfrm>
              <a:off x="8705120" y="189769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𝟎−(𝒌−𝟏)/𝒏|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13</xdr:col>
      <xdr:colOff>3628</xdr:colOff>
      <xdr:row>12</xdr:row>
      <xdr:rowOff>174172</xdr:rowOff>
    </xdr:from>
    <xdr:ext cx="1375854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295597B-01B1-4394-8510-001315C6BAC4}"/>
                </a:ext>
              </a:extLst>
            </xdr:cNvPr>
            <xdr:cNvSpPr txBox="1"/>
          </xdr:nvSpPr>
          <xdr:spPr>
            <a:xfrm>
              <a:off x="9747594" y="2429517"/>
              <a:ext cx="1375854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𝒎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295597B-01B1-4394-8510-001315C6BAC4}"/>
                </a:ext>
              </a:extLst>
            </xdr:cNvPr>
            <xdr:cNvSpPr txBox="1"/>
          </xdr:nvSpPr>
          <xdr:spPr>
            <a:xfrm>
              <a:off x="9747594" y="2429517"/>
              <a:ext cx="1375854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 𝑫(𝒏,𝒎)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2425</xdr:colOff>
      <xdr:row>5</xdr:row>
      <xdr:rowOff>2540</xdr:rowOff>
    </xdr:from>
    <xdr:ext cx="826669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5A0F729-CBF6-42ED-8266-7140C5B428C5}"/>
                </a:ext>
              </a:extLst>
            </xdr:cNvPr>
            <xdr:cNvSpPr txBox="1"/>
          </xdr:nvSpPr>
          <xdr:spPr>
            <a:xfrm>
              <a:off x="7464274" y="982597"/>
              <a:ext cx="826669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5A0F729-CBF6-42ED-8266-7140C5B428C5}"/>
                </a:ext>
              </a:extLst>
            </xdr:cNvPr>
            <xdr:cNvSpPr txBox="1"/>
          </xdr:nvSpPr>
          <xdr:spPr>
            <a:xfrm>
              <a:off x="7464274" y="982597"/>
              <a:ext cx="826669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2540</xdr:colOff>
      <xdr:row>6</xdr:row>
      <xdr:rowOff>3594</xdr:rowOff>
    </xdr:from>
    <xdr:ext cx="82655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E825F0E-C348-4795-B08C-1AE0D1EEE8EF}"/>
                </a:ext>
              </a:extLst>
            </xdr:cNvPr>
            <xdr:cNvSpPr txBox="1"/>
          </xdr:nvSpPr>
          <xdr:spPr>
            <a:xfrm>
              <a:off x="7464389" y="1168160"/>
              <a:ext cx="82655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E825F0E-C348-4795-B08C-1AE0D1EEE8EF}"/>
                </a:ext>
              </a:extLst>
            </xdr:cNvPr>
            <xdr:cNvSpPr txBox="1"/>
          </xdr:nvSpPr>
          <xdr:spPr>
            <a:xfrm>
              <a:off x="7464389" y="1168160"/>
              <a:ext cx="82655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(𝑫_(𝒏,𝒎)^−)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16</xdr:row>
      <xdr:rowOff>179551</xdr:rowOff>
    </xdr:from>
    <xdr:ext cx="1383862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975FD19-6326-4910-B439-64F6ACD8D745}"/>
                </a:ext>
              </a:extLst>
            </xdr:cNvPr>
            <xdr:cNvSpPr txBox="1"/>
          </xdr:nvSpPr>
          <xdr:spPr>
            <a:xfrm>
              <a:off x="9743966" y="3153103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𝒎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)&lt;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𝒛</m:t>
                    </m:r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975FD19-6326-4910-B439-64F6ACD8D745}"/>
                </a:ext>
              </a:extLst>
            </xdr:cNvPr>
            <xdr:cNvSpPr txBox="1"/>
          </xdr:nvSpPr>
          <xdr:spPr>
            <a:xfrm>
              <a:off x="9743966" y="3153103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 𝑫(𝒏,𝒎)&lt;𝒛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?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191887</xdr:colOff>
      <xdr:row>0</xdr:row>
      <xdr:rowOff>76306</xdr:rowOff>
    </xdr:from>
    <xdr:to>
      <xdr:col>8</xdr:col>
      <xdr:colOff>477954</xdr:colOff>
      <xdr:row>3</xdr:row>
      <xdr:rowOff>103373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850139E5-EF87-4538-8FCF-27DE5F4B8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9639" y="76306"/>
          <a:ext cx="2968819" cy="57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882789</xdr:colOff>
      <xdr:row>0</xdr:row>
      <xdr:rowOff>95797</xdr:rowOff>
    </xdr:from>
    <xdr:ext cx="1036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83BB1B-88D5-4620-8961-080B16A2BF18}"/>
                </a:ext>
              </a:extLst>
            </xdr:cNvPr>
            <xdr:cNvSpPr txBox="1"/>
          </xdr:nvSpPr>
          <xdr:spPr>
            <a:xfrm>
              <a:off x="882789" y="95797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ru-RU" sz="1100" b="1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83BB1B-88D5-4620-8961-080B16A2BF18}"/>
                </a:ext>
              </a:extLst>
            </xdr:cNvPr>
            <xdr:cNvSpPr txBox="1"/>
          </xdr:nvSpPr>
          <xdr:spPr>
            <a:xfrm>
              <a:off x="882789" y="95797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{𝑭_𝟏 (𝒙)=𝑭_𝟐 (𝒙)}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4433</xdr:colOff>
      <xdr:row>3</xdr:row>
      <xdr:rowOff>1998</xdr:rowOff>
    </xdr:from>
    <xdr:ext cx="818475" cy="182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09CDA3-130C-4F95-8617-88B8B6BA022F}"/>
                </a:ext>
              </a:extLst>
            </xdr:cNvPr>
            <xdr:cNvSpPr txBox="1"/>
          </xdr:nvSpPr>
          <xdr:spPr>
            <a:xfrm>
              <a:off x="8635249" y="371335"/>
              <a:ext cx="818475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09CDA3-130C-4F95-8617-88B8B6BA022F}"/>
                </a:ext>
              </a:extLst>
            </xdr:cNvPr>
            <xdr:cNvSpPr txBox="1"/>
          </xdr:nvSpPr>
          <xdr:spPr>
            <a:xfrm>
              <a:off x="8635249" y="371335"/>
              <a:ext cx="818475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3240</xdr:colOff>
      <xdr:row>3</xdr:row>
      <xdr:rowOff>2129</xdr:rowOff>
    </xdr:from>
    <xdr:ext cx="842477" cy="182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43F7B59-26C9-4576-9C64-429B5ED021F6}"/>
                </a:ext>
              </a:extLst>
            </xdr:cNvPr>
            <xdr:cNvSpPr txBox="1"/>
          </xdr:nvSpPr>
          <xdr:spPr>
            <a:xfrm>
              <a:off x="9460204" y="371466"/>
              <a:ext cx="842477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43F7B59-26C9-4576-9C64-429B5ED021F6}"/>
                </a:ext>
              </a:extLst>
            </xdr:cNvPr>
            <xdr:cNvSpPr txBox="1"/>
          </xdr:nvSpPr>
          <xdr:spPr>
            <a:xfrm>
              <a:off x="9460204" y="371466"/>
              <a:ext cx="842477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(𝑫_(𝒏,𝒎)^−)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16</xdr:col>
      <xdr:colOff>3141</xdr:colOff>
      <xdr:row>2</xdr:row>
      <xdr:rowOff>2298</xdr:rowOff>
    </xdr:from>
    <xdr:to>
      <xdr:col>20</xdr:col>
      <xdr:colOff>549241</xdr:colOff>
      <xdr:row>3</xdr:row>
      <xdr:rowOff>167240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45A3613C-2B21-412F-BE68-FFF7A407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3440" y="367328"/>
          <a:ext cx="3542388" cy="34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604580</xdr:colOff>
      <xdr:row>5</xdr:row>
      <xdr:rowOff>3807</xdr:rowOff>
    </xdr:from>
    <xdr:to>
      <xdr:col>20</xdr:col>
      <xdr:colOff>508000</xdr:colOff>
      <xdr:row>6</xdr:row>
      <xdr:rowOff>168907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D833B7D9-D1F1-4EB4-98D5-8999EEBA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0299" y="973418"/>
          <a:ext cx="3504288" cy="347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7384</xdr:colOff>
      <xdr:row>8</xdr:row>
      <xdr:rowOff>3188</xdr:rowOff>
    </xdr:from>
    <xdr:to>
      <xdr:col>17</xdr:col>
      <xdr:colOff>470934</xdr:colOff>
      <xdr:row>9</xdr:row>
      <xdr:rowOff>5735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90BF9C33-2381-448E-B7C1-2D655208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683" y="1520344"/>
          <a:ext cx="1611874" cy="185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2214</xdr:colOff>
      <xdr:row>7</xdr:row>
      <xdr:rowOff>2921</xdr:rowOff>
    </xdr:from>
    <xdr:ext cx="1010158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8832F31-5A10-470C-ABAE-C5B43467B6BD}"/>
                </a:ext>
              </a:extLst>
            </xdr:cNvPr>
            <xdr:cNvSpPr txBox="1"/>
          </xdr:nvSpPr>
          <xdr:spPr>
            <a:xfrm>
              <a:off x="9748557" y="1541435"/>
              <a:ext cx="1010158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𝒎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8832F31-5A10-470C-ABAE-C5B43467B6BD}"/>
                </a:ext>
              </a:extLst>
            </xdr:cNvPr>
            <xdr:cNvSpPr txBox="1"/>
          </xdr:nvSpPr>
          <xdr:spPr>
            <a:xfrm>
              <a:off x="9748557" y="1541435"/>
              <a:ext cx="1010158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𝑫_(𝒏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,𝒎</a:t>
              </a:r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3504</xdr:colOff>
      <xdr:row>10</xdr:row>
      <xdr:rowOff>3504</xdr:rowOff>
    </xdr:from>
    <xdr:ext cx="1383862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F463044-BE7C-4240-B6C4-2125F5F71E2C}"/>
                </a:ext>
              </a:extLst>
            </xdr:cNvPr>
            <xdr:cNvSpPr txBox="1"/>
          </xdr:nvSpPr>
          <xdr:spPr>
            <a:xfrm>
              <a:off x="9747470" y="1895366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F463044-BE7C-4240-B6C4-2125F5F71E2C}"/>
                </a:ext>
              </a:extLst>
            </xdr:cNvPr>
            <xdr:cNvSpPr txBox="1"/>
          </xdr:nvSpPr>
          <xdr:spPr>
            <a:xfrm>
              <a:off x="9747470" y="1895366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1055</xdr:colOff>
      <xdr:row>6</xdr:row>
      <xdr:rowOff>1911</xdr:rowOff>
    </xdr:from>
    <xdr:ext cx="1319075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A5FE926-3703-4722-B804-22B0F8BC5EA4}"/>
                </a:ext>
              </a:extLst>
            </xdr:cNvPr>
            <xdr:cNvSpPr txBox="1"/>
          </xdr:nvSpPr>
          <xdr:spPr>
            <a:xfrm>
              <a:off x="4859641" y="1347108"/>
              <a:ext cx="1319075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1" i="1">
                      <a:latin typeface="Cambria Math" panose="02040503050406030204" pitchFamily="18" charset="0"/>
                    </a:rPr>
                    <m:t>𝑼</m:t>
                  </m:r>
                </m:oMath>
              </a14:m>
              <a:r>
                <a:rPr lang="en-US" sz="1100" b="1"/>
                <a:t> </a:t>
              </a:r>
              <a:r>
                <a:rPr lang="en-US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</a:t>
              </a:r>
              <a:r>
                <a:rPr lang="ru-RU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выборочное значение статистики) </a:t>
              </a:r>
              <a:endParaRPr lang="ru-RU" sz="1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A5FE926-3703-4722-B804-22B0F8BC5EA4}"/>
                </a:ext>
              </a:extLst>
            </xdr:cNvPr>
            <xdr:cNvSpPr txBox="1"/>
          </xdr:nvSpPr>
          <xdr:spPr>
            <a:xfrm>
              <a:off x="4859641" y="1347108"/>
              <a:ext cx="1319075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𝑼</a:t>
              </a:r>
              <a:r>
                <a:rPr lang="en-US" sz="1100" b="1"/>
                <a:t> </a:t>
              </a:r>
              <a:r>
                <a:rPr lang="en-US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</a:t>
              </a:r>
              <a:r>
                <a:rPr lang="ru-RU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выборочное значение статистики) </a:t>
              </a:r>
              <a:endParaRPr lang="ru-RU" sz="1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4977</xdr:colOff>
      <xdr:row>6</xdr:row>
      <xdr:rowOff>3365</xdr:rowOff>
    </xdr:from>
    <xdr:ext cx="830776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2D667-C457-4A15-B5DB-F49BDDF0E601}"/>
                </a:ext>
              </a:extLst>
            </xdr:cNvPr>
            <xdr:cNvSpPr txBox="1"/>
          </xdr:nvSpPr>
          <xdr:spPr>
            <a:xfrm>
              <a:off x="5704036" y="1342444"/>
              <a:ext cx="830776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  <m:d>
                      <m:d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𝒂</m:t>
                        </m:r>
                      </m:e>
                    </m:d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2D667-C457-4A15-B5DB-F49BDDF0E601}"/>
                </a:ext>
              </a:extLst>
            </xdr:cNvPr>
            <xdr:cNvSpPr txBox="1"/>
          </xdr:nvSpPr>
          <xdr:spPr>
            <a:xfrm>
              <a:off x="5704036" y="1342444"/>
              <a:ext cx="830776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𝑼(𝟏−𝒂)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2129</xdr:colOff>
      <xdr:row>6</xdr:row>
      <xdr:rowOff>3707</xdr:rowOff>
    </xdr:from>
    <xdr:ext cx="613232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97B629A-661B-47C5-80DE-3A30A185C4EE}"/>
                </a:ext>
              </a:extLst>
            </xdr:cNvPr>
            <xdr:cNvSpPr txBox="1"/>
          </xdr:nvSpPr>
          <xdr:spPr>
            <a:xfrm>
              <a:off x="6532155" y="1332625"/>
              <a:ext cx="613232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𝑴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97B629A-661B-47C5-80DE-3A30A185C4EE}"/>
                </a:ext>
              </a:extLst>
            </xdr:cNvPr>
            <xdr:cNvSpPr txBox="1"/>
          </xdr:nvSpPr>
          <xdr:spPr>
            <a:xfrm>
              <a:off x="6532155" y="1332625"/>
              <a:ext cx="613232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𝑴(𝑼)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2130</xdr:colOff>
      <xdr:row>6</xdr:row>
      <xdr:rowOff>3710</xdr:rowOff>
    </xdr:from>
    <xdr:ext cx="825988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452247E-8A17-44EB-8071-8BFCB9CFAFE8}"/>
                </a:ext>
              </a:extLst>
            </xdr:cNvPr>
            <xdr:cNvSpPr txBox="1"/>
          </xdr:nvSpPr>
          <xdr:spPr>
            <a:xfrm>
              <a:off x="7147517" y="1332628"/>
              <a:ext cx="825988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𝑫𝑼</m:t>
                    </m:r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452247E-8A17-44EB-8071-8BFCB9CFAFE8}"/>
                </a:ext>
              </a:extLst>
            </xdr:cNvPr>
            <xdr:cNvSpPr txBox="1"/>
          </xdr:nvSpPr>
          <xdr:spPr>
            <a:xfrm>
              <a:off x="7147517" y="1332628"/>
              <a:ext cx="825988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𝑫𝑼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3273</xdr:colOff>
      <xdr:row>6</xdr:row>
      <xdr:rowOff>2269</xdr:rowOff>
    </xdr:from>
    <xdr:ext cx="839769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3DD4B3-461D-491C-A633-6D93AFA6BB8C}"/>
                </a:ext>
              </a:extLst>
            </xdr:cNvPr>
            <xdr:cNvSpPr txBox="1"/>
          </xdr:nvSpPr>
          <xdr:spPr>
            <a:xfrm>
              <a:off x="7973505" y="1331187"/>
              <a:ext cx="839769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𝒛</m:t>
                        </m:r>
                      </m:e>
                      <m:sub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𝑩</m:t>
                        </m:r>
                      </m:sub>
                    </m:sSub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3DD4B3-461D-491C-A633-6D93AFA6BB8C}"/>
                </a:ext>
              </a:extLst>
            </xdr:cNvPr>
            <xdr:cNvSpPr txBox="1"/>
          </xdr:nvSpPr>
          <xdr:spPr>
            <a:xfrm>
              <a:off x="7973505" y="1331187"/>
              <a:ext cx="839769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𝒛_𝑩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12</xdr:col>
      <xdr:colOff>3273</xdr:colOff>
      <xdr:row>6</xdr:row>
      <xdr:rowOff>3273</xdr:rowOff>
    </xdr:from>
    <xdr:ext cx="598995" cy="3796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53EB9D0-AA11-4BF0-8BD8-482A358A8B90}"/>
                </a:ext>
              </a:extLst>
            </xdr:cNvPr>
            <xdr:cNvSpPr txBox="1"/>
          </xdr:nvSpPr>
          <xdr:spPr>
            <a:xfrm>
              <a:off x="8817989" y="1332191"/>
              <a:ext cx="598995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53EB9D0-AA11-4BF0-8BD8-482A358A8B90}"/>
                </a:ext>
              </a:extLst>
            </xdr:cNvPr>
            <xdr:cNvSpPr txBox="1"/>
          </xdr:nvSpPr>
          <xdr:spPr>
            <a:xfrm>
              <a:off x="8817989" y="1332191"/>
              <a:ext cx="598995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𝑩</a:t>
              </a:r>
              <a:r>
                <a:rPr lang="ru-RU" sz="1100" b="1" i="0">
                  <a:latin typeface="Cambria Math" panose="02040503050406030204" pitchFamily="18" charset="0"/>
                </a:rPr>
                <a:t>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13</xdr:col>
      <xdr:colOff>1835</xdr:colOff>
      <xdr:row>6</xdr:row>
      <xdr:rowOff>1833</xdr:rowOff>
    </xdr:from>
    <xdr:ext cx="1168380" cy="3796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7ECAD61-D502-4480-AFCE-D8DB2492DCAE}"/>
                </a:ext>
              </a:extLst>
            </xdr:cNvPr>
            <xdr:cNvSpPr txBox="1"/>
          </xdr:nvSpPr>
          <xdr:spPr>
            <a:xfrm>
              <a:off x="9925978" y="1335333"/>
              <a:ext cx="1168380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sub>
                        </m:sSub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𝑼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7ECAD61-D502-4480-AFCE-D8DB2492DCAE}"/>
                </a:ext>
              </a:extLst>
            </xdr:cNvPr>
            <xdr:cNvSpPr txBox="1"/>
          </xdr:nvSpPr>
          <xdr:spPr>
            <a:xfrm>
              <a:off x="9925978" y="1335333"/>
              <a:ext cx="1168380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𝑩</a:t>
              </a:r>
              <a:r>
                <a:rPr lang="ru-RU" sz="1100" b="1" i="0">
                  <a:latin typeface="Cambria Math" panose="02040503050406030204" pitchFamily="18" charset="0"/>
                </a:rPr>
                <a:t> |</a:t>
              </a:r>
              <a:r>
                <a:rPr lang="en-US" sz="1100" b="1" i="0">
                  <a:latin typeface="Cambria Math" panose="02040503050406030204" pitchFamily="18" charset="0"/>
                </a:rPr>
                <a:t>&lt;𝑼(𝟏−𝒂)?</a:t>
              </a:r>
              <a:endParaRPr lang="ru-RU" sz="1100" b="1"/>
            </a:p>
          </xdr:txBody>
        </xdr:sp>
      </mc:Fallback>
    </mc:AlternateContent>
    <xdr:clientData/>
  </xdr:oneCellAnchor>
  <xdr:twoCellAnchor>
    <xdr:from>
      <xdr:col>8</xdr:col>
      <xdr:colOff>50946</xdr:colOff>
      <xdr:row>9</xdr:row>
      <xdr:rowOff>155497</xdr:rowOff>
    </xdr:from>
    <xdr:to>
      <xdr:col>10</xdr:col>
      <xdr:colOff>48097</xdr:colOff>
      <xdr:row>11</xdr:row>
      <xdr:rowOff>83722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69C2C2EA-5379-4333-B93C-39D99166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6732" y="2060497"/>
          <a:ext cx="1448579" cy="30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71655</xdr:colOff>
      <xdr:row>11</xdr:row>
      <xdr:rowOff>140471</xdr:rowOff>
    </xdr:from>
    <xdr:to>
      <xdr:col>9</xdr:col>
      <xdr:colOff>250492</xdr:colOff>
      <xdr:row>13</xdr:row>
      <xdr:rowOff>140470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DAB8D499-E5F7-4867-925C-037E7CA14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41" y="2426471"/>
          <a:ext cx="1013408" cy="380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74180</xdr:colOff>
      <xdr:row>10</xdr:row>
      <xdr:rowOff>105997</xdr:rowOff>
    </xdr:from>
    <xdr:ext cx="1036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5B2352-0E0C-4CD9-82A6-3A144B51B2D4}"/>
                </a:ext>
              </a:extLst>
            </xdr:cNvPr>
            <xdr:cNvSpPr txBox="1"/>
          </xdr:nvSpPr>
          <xdr:spPr>
            <a:xfrm>
              <a:off x="3705666" y="2018648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ru-RU" sz="1100" b="1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5B2352-0E0C-4CD9-82A6-3A144B51B2D4}"/>
                </a:ext>
              </a:extLst>
            </xdr:cNvPr>
            <xdr:cNvSpPr txBox="1"/>
          </xdr:nvSpPr>
          <xdr:spPr>
            <a:xfrm>
              <a:off x="3705666" y="2018648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{𝑭_𝟏 (𝒙)=𝑭_𝟐 (𝒙)}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0</xdr:colOff>
      <xdr:row>0</xdr:row>
      <xdr:rowOff>0</xdr:rowOff>
    </xdr:from>
    <xdr:to>
      <xdr:col>12</xdr:col>
      <xdr:colOff>19050</xdr:colOff>
      <xdr:row>1</xdr:row>
      <xdr:rowOff>158750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3A339DE5-312F-4BA7-89EF-E50542F5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0"/>
          <a:ext cx="16891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12</xdr:col>
      <xdr:colOff>107950</xdr:colOff>
      <xdr:row>3</xdr:row>
      <xdr:rowOff>158750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172248A8-F3BC-440A-BCA1-AE81A2F9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381000"/>
          <a:ext cx="17780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102323</xdr:colOff>
      <xdr:row>2</xdr:row>
      <xdr:rowOff>8036</xdr:rowOff>
    </xdr:from>
    <xdr:to>
      <xdr:col>28</xdr:col>
      <xdr:colOff>415624</xdr:colOff>
      <xdr:row>5</xdr:row>
      <xdr:rowOff>8700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CE9A1CD9-6658-4F52-924D-CA7D0442E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823" y="389036"/>
          <a:ext cx="1567426" cy="532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3340</xdr:colOff>
      <xdr:row>9</xdr:row>
      <xdr:rowOff>63286</xdr:rowOff>
    </xdr:from>
    <xdr:to>
      <xdr:col>27</xdr:col>
      <xdr:colOff>38363</xdr:colOff>
      <xdr:row>12</xdr:row>
      <xdr:rowOff>116717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B8566F7A-CD1A-465D-98B9-DC5B2996D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2090" y="1674599"/>
          <a:ext cx="1844773" cy="577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</xdr:row>
      <xdr:rowOff>2223</xdr:rowOff>
    </xdr:from>
    <xdr:ext cx="6408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1D6D4B-048A-4881-8E0A-BD029D5F2DBC}"/>
                </a:ext>
              </a:extLst>
            </xdr:cNvPr>
            <xdr:cNvSpPr txBox="1"/>
          </xdr:nvSpPr>
          <xdr:spPr>
            <a:xfrm>
              <a:off x="3845115" y="561140"/>
              <a:ext cx="640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 i="1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1D6D4B-048A-4881-8E0A-BD029D5F2DBC}"/>
                </a:ext>
              </a:extLst>
            </xdr:cNvPr>
            <xdr:cNvSpPr txBox="1"/>
          </xdr:nvSpPr>
          <xdr:spPr>
            <a:xfrm>
              <a:off x="3845115" y="561140"/>
              <a:ext cx="640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ⅆ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</a:t>
              </a:r>
              <a:endParaRPr lang="ru-RU" sz="1100" i="1"/>
            </a:p>
          </xdr:txBody>
        </xdr:sp>
      </mc:Fallback>
    </mc:AlternateContent>
    <xdr:clientData/>
  </xdr:oneCellAnchor>
  <xdr:oneCellAnchor>
    <xdr:from>
      <xdr:col>7</xdr:col>
      <xdr:colOff>236</xdr:colOff>
      <xdr:row>3</xdr:row>
      <xdr:rowOff>2457</xdr:rowOff>
    </xdr:from>
    <xdr:ext cx="640853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94664AA-2AE2-4935-A3EA-1A37E9BD7D8A}"/>
                </a:ext>
              </a:extLst>
            </xdr:cNvPr>
            <xdr:cNvSpPr txBox="1"/>
          </xdr:nvSpPr>
          <xdr:spPr>
            <a:xfrm>
              <a:off x="4486204" y="561374"/>
              <a:ext cx="640853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ⅆ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 i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94664AA-2AE2-4935-A3EA-1A37E9BD7D8A}"/>
                </a:ext>
              </a:extLst>
            </xdr:cNvPr>
            <xdr:cNvSpPr txBox="1"/>
          </xdr:nvSpPr>
          <xdr:spPr>
            <a:xfrm>
              <a:off x="4486204" y="561374"/>
              <a:ext cx="640853" cy="181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ⅆ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 i="1"/>
            </a:p>
          </xdr:txBody>
        </xdr:sp>
      </mc:Fallback>
    </mc:AlternateContent>
    <xdr:clientData/>
  </xdr:oneCellAnchor>
  <xdr:oneCellAnchor>
    <xdr:from>
      <xdr:col>10</xdr:col>
      <xdr:colOff>3342</xdr:colOff>
      <xdr:row>6</xdr:row>
      <xdr:rowOff>4932</xdr:rowOff>
    </xdr:from>
    <xdr:ext cx="4491047" cy="5242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0C68A3D-3867-4F7B-BCFC-E693FE9230CC}"/>
                </a:ext>
              </a:extLst>
            </xdr:cNvPr>
            <xdr:cNvSpPr txBox="1"/>
          </xdr:nvSpPr>
          <xdr:spPr>
            <a:xfrm>
              <a:off x="7178842" y="915099"/>
              <a:ext cx="4491047" cy="524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𝑠</m:t>
                      </m:r>
                    </m:sub>
                  </m:sSub>
                  <m:r>
                    <a:rPr lang="ru-RU" sz="110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=1−</m:t>
                  </m:r>
                  <m:f>
                    <m:fPr>
                      <m:ctrlPr>
                        <a:rPr lang="ru-RU" sz="11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ru-RU" sz="110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6</m:t>
                      </m:r>
                      <m:nary>
                        <m:naryPr>
                          <m:chr m:val="∑"/>
                          <m:limLoc m:val="subSup"/>
                          <m:ctrlPr>
                            <a:rPr lang="ru-RU" sz="110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5"/>
                            </m:rP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sSubSup>
                            <m:sSubSupPr>
                              <m:ctrlP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𝑑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𝑖</m:t>
                              </m:r>
                            </m:sub>
                            <m:sup>
                              <m:r>
                                <a:rPr lang="en-US" sz="11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</m:num>
                    <m:den>
                      <m:r>
                        <a:rPr lang="ru-RU" sz="11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  <m:d>
                        <m:dPr>
                          <m:ctrlPr>
                            <a:rPr lang="ru-RU" sz="110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sSup>
                            <m:sSupPr>
                              <m:ctrlPr>
                                <a:rPr lang="ru-RU" sz="110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ru-RU" sz="110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𝑛</m:t>
                              </m:r>
                            </m:e>
                            <m:sup>
                              <m:r>
                                <a:rPr lang="ru-RU" sz="1100" i="0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  <m:r>
                            <a:rPr lang="ru-RU" sz="1100" i="0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−1</m:t>
                          </m:r>
                        </m:e>
                      </m:d>
                    </m:den>
                  </m:f>
                </m:oMath>
              </a14:m>
              <a:r>
                <a:rPr lang="en-US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:r>
                <a:rPr lang="ru-RU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где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𝑟𝑎𝑛𝑘</m:t>
                  </m:r>
                  <m:d>
                    <m:d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−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𝑟𝑎𝑛𝑘</m:t>
                  </m:r>
                  <m:d>
                    <m:d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   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𝑖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=1, 2,…,</m:t>
                  </m:r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𝑛</m:t>
                  </m:r>
                </m:oMath>
              </a14:m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0C68A3D-3867-4F7B-BCFC-E693FE9230CC}"/>
                </a:ext>
              </a:extLst>
            </xdr:cNvPr>
            <xdr:cNvSpPr txBox="1"/>
          </xdr:nvSpPr>
          <xdr:spPr>
            <a:xfrm>
              <a:off x="7178842" y="915099"/>
              <a:ext cx="4491047" cy="524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𝑟_𝑠=1−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6∑26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𝑖=1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^𝑛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▒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𝑑_𝑖^2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)/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𝑛(𝑛^2−1)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, </a:t>
              </a:r>
              <a:r>
                <a:rPr lang="ru-RU" sz="11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где </a:t>
              </a:r>
              <a:r>
                <a:rPr lang="en-US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𝑑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_𝑖=𝑟𝑎𝑛𝑘(𝑥_𝑖 )−𝑟𝑎𝑛𝑘(𝑦_𝑖 ),    𝑖=1, 2,…,𝑛</a:t>
              </a:r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3528</xdr:colOff>
      <xdr:row>13</xdr:row>
      <xdr:rowOff>4937</xdr:rowOff>
    </xdr:from>
    <xdr:ext cx="941916" cy="3513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14F3FE8-28F7-4B25-8014-14FCBC61A123}"/>
                </a:ext>
              </a:extLst>
            </xdr:cNvPr>
            <xdr:cNvSpPr txBox="1"/>
          </xdr:nvSpPr>
          <xdr:spPr>
            <a:xfrm>
              <a:off x="5782028" y="2156881"/>
              <a:ext cx="941916" cy="3513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14F3FE8-28F7-4B25-8014-14FCBC61A123}"/>
                </a:ext>
              </a:extLst>
            </xdr:cNvPr>
            <xdr:cNvSpPr txBox="1"/>
          </xdr:nvSpPr>
          <xdr:spPr>
            <a:xfrm>
              <a:off x="5782028" y="2156881"/>
              <a:ext cx="941916" cy="3513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∑26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𝑖=1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^𝑛</a:t>
              </a:r>
              <a:r>
                <a:rPr lang="ru-RU" sz="1100" b="0" i="0">
                  <a:latin typeface="Cambria Math" panose="02040503050406030204" pitchFamily="18" charset="0"/>
                </a:rPr>
                <a:t>▒</a:t>
              </a:r>
              <a:r>
                <a:rPr lang="en-US" sz="1100" b="0" i="0">
                  <a:latin typeface="Cambria Math" panose="02040503050406030204" pitchFamily="18" charset="0"/>
                </a:rPr>
                <a:t>𝑑_𝑖^2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3529</xdr:colOff>
      <xdr:row>16</xdr:row>
      <xdr:rowOff>4937</xdr:rowOff>
    </xdr:from>
    <xdr:ext cx="9383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3EEB4FD-19A9-4726-A723-C0E31F13680B}"/>
                </a:ext>
              </a:extLst>
            </xdr:cNvPr>
            <xdr:cNvSpPr txBox="1"/>
          </xdr:nvSpPr>
          <xdr:spPr>
            <a:xfrm>
              <a:off x="5782029" y="2686048"/>
              <a:ext cx="9383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3EEB4FD-19A9-4726-A723-C0E31F13680B}"/>
                </a:ext>
              </a:extLst>
            </xdr:cNvPr>
            <xdr:cNvSpPr txBox="1"/>
          </xdr:nvSpPr>
          <xdr:spPr>
            <a:xfrm>
              <a:off x="5782029" y="2686048"/>
              <a:ext cx="9383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𝑟_𝑆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3529</xdr:colOff>
      <xdr:row>17</xdr:row>
      <xdr:rowOff>2116</xdr:rowOff>
    </xdr:from>
    <xdr:ext cx="934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DB85262-7DA1-4599-8CA1-DA6DBD90EFD3}"/>
                </a:ext>
              </a:extLst>
            </xdr:cNvPr>
            <xdr:cNvSpPr txBox="1"/>
          </xdr:nvSpPr>
          <xdr:spPr>
            <a:xfrm>
              <a:off x="5782029" y="2859616"/>
              <a:ext cx="934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DB85262-7DA1-4599-8CA1-DA6DBD90EFD3}"/>
                </a:ext>
              </a:extLst>
            </xdr:cNvPr>
            <xdr:cNvSpPr txBox="1"/>
          </xdr:nvSpPr>
          <xdr:spPr>
            <a:xfrm>
              <a:off x="5782029" y="2859616"/>
              <a:ext cx="934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|𝑟_𝑆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20</xdr:row>
      <xdr:rowOff>4457</xdr:rowOff>
    </xdr:from>
    <xdr:ext cx="5436137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DCD2714-6338-4667-83F6-C10C2E4C127A}"/>
                </a:ext>
              </a:extLst>
            </xdr:cNvPr>
            <xdr:cNvSpPr txBox="1"/>
          </xdr:nvSpPr>
          <xdr:spPr>
            <a:xfrm>
              <a:off x="5761089" y="3435505"/>
              <a:ext cx="543613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𝑆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ad>
                    <m:radPr>
                      <m:degHide m:val="on"/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𝑛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−2</m:t>
                          </m:r>
                        </m:num>
                        <m:den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1−</m:t>
                          </m:r>
                          <m:sSubSup>
                            <m:sSubSup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𝑆</m:t>
                              </m:r>
                            </m:sub>
                            <m:sup>
                              <m:r>
                                <a:rPr lang="en-US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den>
                      </m:f>
                    </m:e>
                  </m:rad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∼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1−</m:t>
                      </m:r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1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2</m:t>
                          </m:r>
                        </m:den>
                      </m:f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𝛼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−2</m:t>
                      </m:r>
                    </m:e>
                  </m:d>
                </m:oMath>
              </a14:m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 — </a:t>
              </a:r>
              <a:r>
                <a:rPr lang="ru-RU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распределение Стьюдента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с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−2</m:t>
                  </m:r>
                </m:oMath>
              </a14:m>
              <a:r>
                <a:rPr lang="en-US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степенью свободы</a:t>
              </a:r>
              <a:endParaRPr lang="ru-RU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DCD2714-6338-4667-83F6-C10C2E4C127A}"/>
                </a:ext>
              </a:extLst>
            </xdr:cNvPr>
            <xdr:cNvSpPr txBox="1"/>
          </xdr:nvSpPr>
          <xdr:spPr>
            <a:xfrm>
              <a:off x="5761089" y="3435505"/>
              <a:ext cx="543613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𝑟_𝑆  √((𝑛−2)/(1−𝑟_𝑆^2 ))∼𝑡_(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1−1/2 𝛼) (𝑛−2)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 — </a:t>
              </a:r>
              <a:r>
                <a:rPr lang="ru-RU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распределение Стьюдента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с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𝑛−2</a:t>
              </a:r>
              <a:r>
                <a:rPr lang="en-US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ru-RU" sz="11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степенью свободы</a:t>
              </a:r>
              <a:endParaRPr lang="ru-RU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3968</xdr:colOff>
      <xdr:row>24</xdr:row>
      <xdr:rowOff>2045</xdr:rowOff>
    </xdr:from>
    <xdr:ext cx="940593" cy="5297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99331AD-FA45-4CDA-859A-EC159A2A9AB7}"/>
                </a:ext>
              </a:extLst>
            </xdr:cNvPr>
            <xdr:cNvSpPr txBox="1"/>
          </xdr:nvSpPr>
          <xdr:spPr>
            <a:xfrm>
              <a:off x="5790406" y="4137483"/>
              <a:ext cx="940593" cy="5297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den>
                        </m:f>
                      </m:e>
                    </m:ra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99331AD-FA45-4CDA-859A-EC159A2A9AB7}"/>
                </a:ext>
              </a:extLst>
            </xdr:cNvPr>
            <xdr:cNvSpPr txBox="1"/>
          </xdr:nvSpPr>
          <xdr:spPr>
            <a:xfrm>
              <a:off x="5790406" y="4137483"/>
              <a:ext cx="940593" cy="5297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𝑟_𝑆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√((</a:t>
              </a:r>
              <a:r>
                <a:rPr lang="en-US" sz="1100" b="0" i="0">
                  <a:latin typeface="Cambria Math" panose="02040503050406030204" pitchFamily="18" charset="0"/>
                </a:rPr>
                <a:t>𝑛−2</a:t>
              </a:r>
              <a:r>
                <a:rPr lang="ru-RU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1−𝑟_𝑆^2</a:t>
              </a:r>
              <a:r>
                <a:rPr lang="ru-RU" sz="1100" b="0" i="0">
                  <a:latin typeface="Cambria Math" panose="02040503050406030204" pitchFamily="18" charset="0"/>
                </a:rPr>
                <a:t> 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3969</xdr:colOff>
      <xdr:row>24</xdr:row>
      <xdr:rowOff>3968</xdr:rowOff>
    </xdr:from>
    <xdr:ext cx="935891" cy="5245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FDB5F8C-9BB1-418A-874B-C24800A70C91}"/>
                </a:ext>
              </a:extLst>
            </xdr:cNvPr>
            <xdr:cNvSpPr txBox="1"/>
          </xdr:nvSpPr>
          <xdr:spPr>
            <a:xfrm>
              <a:off x="8009374" y="4092928"/>
              <a:ext cx="935891" cy="5245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FDB5F8C-9BB1-418A-874B-C24800A70C91}"/>
                </a:ext>
              </a:extLst>
            </xdr:cNvPr>
            <xdr:cNvSpPr txBox="1"/>
          </xdr:nvSpPr>
          <xdr:spPr>
            <a:xfrm>
              <a:off x="8009374" y="4092928"/>
              <a:ext cx="935891" cy="5245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𝑡_(1−1/2 𝛼) (𝑛−2)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631030</xdr:colOff>
      <xdr:row>6</xdr:row>
      <xdr:rowOff>6595</xdr:rowOff>
    </xdr:from>
    <xdr:to>
      <xdr:col>17</xdr:col>
      <xdr:colOff>123030</xdr:colOff>
      <xdr:row>21</xdr:row>
      <xdr:rowOff>70888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68CCED9-F18E-4E85-93A4-280FC4848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23</xdr:row>
      <xdr:rowOff>0</xdr:rowOff>
    </xdr:from>
    <xdr:to>
      <xdr:col>17</xdr:col>
      <xdr:colOff>127000</xdr:colOff>
      <xdr:row>38</xdr:row>
      <xdr:rowOff>64293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0C4AB83-EB9E-4132-8326-FC6327655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33130</xdr:colOff>
      <xdr:row>40</xdr:row>
      <xdr:rowOff>22639</xdr:rowOff>
    </xdr:from>
    <xdr:to>
      <xdr:col>17</xdr:col>
      <xdr:colOff>160130</xdr:colOff>
      <xdr:row>55</xdr:row>
      <xdr:rowOff>73991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88661EED-02B6-423B-B69B-8F15E823C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5F45-D839-4453-9BDF-240EA0705C49}">
  <sheetPr>
    <tabColor theme="5" tint="0.39997558519241921"/>
  </sheetPr>
  <dimension ref="A2:X52"/>
  <sheetViews>
    <sheetView zoomScale="40" zoomScaleNormal="40" workbookViewId="0">
      <selection activeCell="A3" sqref="A3:B52"/>
    </sheetView>
  </sheetViews>
  <sheetFormatPr defaultColWidth="8.7109375" defaultRowHeight="15" x14ac:dyDescent="0.25"/>
  <cols>
    <col min="1" max="1" width="7.42578125" style="1" bestFit="1" customWidth="1"/>
    <col min="2" max="2" width="9" style="1" bestFit="1" customWidth="1"/>
    <col min="3" max="7" width="8.7109375" style="1"/>
    <col min="8" max="8" width="7.42578125" style="1" bestFit="1" customWidth="1"/>
    <col min="9" max="9" width="9" style="1" bestFit="1" customWidth="1"/>
    <col min="10" max="10" width="8.7109375" style="1"/>
    <col min="11" max="11" width="20.140625" style="1" bestFit="1" customWidth="1"/>
    <col min="12" max="12" width="11.7109375" style="1" bestFit="1" customWidth="1"/>
    <col min="13" max="13" width="10.140625" style="1" bestFit="1" customWidth="1"/>
    <col min="14" max="14" width="8.7109375" style="1" customWidth="1"/>
    <col min="15" max="15" width="13.28515625" style="1" bestFit="1" customWidth="1"/>
    <col min="16" max="16" width="12.42578125" style="1" customWidth="1"/>
    <col min="17" max="18" width="12.28515625" style="1" customWidth="1"/>
    <col min="19" max="19" width="12.140625" style="1" bestFit="1" customWidth="1"/>
    <col min="20" max="21" width="14.85546875" style="1" customWidth="1"/>
    <col min="22" max="22" width="13.42578125" style="1" customWidth="1"/>
    <col min="23" max="24" width="12.140625" style="1" bestFit="1" customWidth="1"/>
    <col min="25" max="25" width="15" style="1" bestFit="1" customWidth="1"/>
    <col min="26" max="26" width="13.28515625" style="1" bestFit="1" customWidth="1"/>
    <col min="27" max="16384" width="8.7109375" style="1"/>
  </cols>
  <sheetData>
    <row r="2" spans="1:24" ht="15.75" thickBot="1" x14ac:dyDescent="0.3">
      <c r="A2" s="1" t="s">
        <v>0</v>
      </c>
      <c r="B2" s="1" t="s">
        <v>1</v>
      </c>
      <c r="D2" s="1" t="s">
        <v>2</v>
      </c>
      <c r="H2" s="1" t="s">
        <v>0</v>
      </c>
      <c r="I2" s="1" t="s">
        <v>1</v>
      </c>
      <c r="L2" s="1" t="s">
        <v>0</v>
      </c>
      <c r="M2" s="1" t="s">
        <v>1</v>
      </c>
      <c r="O2" s="1" t="s">
        <v>11</v>
      </c>
      <c r="X2" s="1" t="s">
        <v>24</v>
      </c>
    </row>
    <row r="3" spans="1:24" ht="42.75" x14ac:dyDescent="0.25">
      <c r="A3" s="2">
        <v>1.1511100000000001</v>
      </c>
      <c r="B3" s="3">
        <v>3.0167700000000002</v>
      </c>
      <c r="D3" s="1" t="s">
        <v>0</v>
      </c>
      <c r="E3" s="1" t="s">
        <v>1</v>
      </c>
      <c r="H3" s="2">
        <v>1.0032000000000001</v>
      </c>
      <c r="I3" s="3">
        <v>-1.6568700000000001</v>
      </c>
      <c r="K3" s="1" t="s">
        <v>5</v>
      </c>
      <c r="L3" s="1">
        <f>COUNTA(H3:H52)</f>
        <v>50</v>
      </c>
      <c r="M3" s="1">
        <f>COUNTA(I3:I52)</f>
        <v>50</v>
      </c>
      <c r="O3" s="13" t="s">
        <v>10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22</v>
      </c>
      <c r="V3" s="14" t="s">
        <v>19</v>
      </c>
    </row>
    <row r="4" spans="1:24" x14ac:dyDescent="0.25">
      <c r="A4" s="4">
        <v>1.79654</v>
      </c>
      <c r="B4" s="5">
        <v>-0.17352000000000001</v>
      </c>
      <c r="D4" s="1">
        <f>AVERAGE(A3:A52)</f>
        <v>1.5424106000000009</v>
      </c>
      <c r="E4" s="1">
        <f>AVERAGE(B3:B52)</f>
        <v>2.5221319599999994</v>
      </c>
      <c r="H4" s="4">
        <v>1.00892</v>
      </c>
      <c r="I4" s="5">
        <v>-0.74036199999999996</v>
      </c>
      <c r="K4" s="1" t="s">
        <v>6</v>
      </c>
      <c r="L4" s="1">
        <f>H3</f>
        <v>1.0032000000000001</v>
      </c>
      <c r="M4" s="1">
        <f>I3</f>
        <v>-1.6568700000000001</v>
      </c>
      <c r="O4" s="10">
        <v>1</v>
      </c>
      <c r="P4" s="15">
        <f>L4</f>
        <v>1.0032000000000001</v>
      </c>
      <c r="Q4" s="16">
        <f>P5</f>
        <v>1.3343183333333335</v>
      </c>
      <c r="R4" s="12">
        <f t="shared" ref="R4:R9" si="0">(P4+Q4)/2</f>
        <v>1.1687591666666668</v>
      </c>
      <c r="S4" s="12" cm="1">
        <f t="array" ref="S4:S9">FREQUENCY(H3:H52,P5:P9)</f>
        <v>17</v>
      </c>
      <c r="T4" s="12">
        <f t="shared" ref="T4:T9" si="1">S4/$S$10</f>
        <v>0.34</v>
      </c>
      <c r="U4" s="12">
        <f>T4/$L$7</f>
        <v>1.0268232404326751</v>
      </c>
      <c r="V4" s="11">
        <f>T4</f>
        <v>0.34</v>
      </c>
    </row>
    <row r="5" spans="1:24" x14ac:dyDescent="0.25">
      <c r="A5" s="6">
        <v>2.8480599999999998</v>
      </c>
      <c r="B5" s="5">
        <v>3.1695199999999999</v>
      </c>
      <c r="H5" s="4">
        <v>1.0301</v>
      </c>
      <c r="I5" s="5">
        <v>-0.73702800000000002</v>
      </c>
      <c r="K5" s="1" t="s">
        <v>7</v>
      </c>
      <c r="L5" s="1">
        <f>H52</f>
        <v>2.9899100000000001</v>
      </c>
      <c r="M5" s="1">
        <f>I52</f>
        <v>6.4695099999999996</v>
      </c>
      <c r="O5" s="10">
        <v>2</v>
      </c>
      <c r="P5" s="15">
        <f t="shared" ref="P5:Q9" si="2">P4+$L$7</f>
        <v>1.3343183333333335</v>
      </c>
      <c r="Q5" s="16">
        <f t="shared" si="2"/>
        <v>1.6654366666666669</v>
      </c>
      <c r="R5" s="12">
        <f t="shared" si="0"/>
        <v>1.4998775000000002</v>
      </c>
      <c r="S5" s="12">
        <v>18</v>
      </c>
      <c r="T5" s="12">
        <f t="shared" si="1"/>
        <v>0.36</v>
      </c>
      <c r="U5" s="12">
        <f t="shared" ref="U5:U9" si="3">T5/$L$7</f>
        <v>1.08722460751695</v>
      </c>
      <c r="V5" s="11">
        <f>V4+T5</f>
        <v>0.7</v>
      </c>
    </row>
    <row r="6" spans="1:24" x14ac:dyDescent="0.25">
      <c r="A6" s="4">
        <v>1.6140699999999999</v>
      </c>
      <c r="B6" s="5">
        <v>2.3263500000000001</v>
      </c>
      <c r="D6" s="1" t="s">
        <v>3</v>
      </c>
      <c r="H6" s="4">
        <v>1.0472900000000001</v>
      </c>
      <c r="I6" s="5">
        <v>-0.60269700000000004</v>
      </c>
      <c r="K6" s="1" t="s">
        <v>8</v>
      </c>
      <c r="L6" s="1">
        <v>6</v>
      </c>
      <c r="M6" s="1">
        <v>6</v>
      </c>
      <c r="O6" s="10">
        <v>3</v>
      </c>
      <c r="P6" s="15">
        <f t="shared" si="2"/>
        <v>1.6654366666666669</v>
      </c>
      <c r="Q6" s="16">
        <f t="shared" si="2"/>
        <v>1.9965550000000003</v>
      </c>
      <c r="R6" s="12">
        <f t="shared" si="0"/>
        <v>1.8309958333333336</v>
      </c>
      <c r="S6" s="12">
        <v>11</v>
      </c>
      <c r="T6" s="12">
        <f t="shared" si="1"/>
        <v>0.22</v>
      </c>
      <c r="U6" s="12">
        <f t="shared" si="3"/>
        <v>0.66441503792702505</v>
      </c>
      <c r="V6" s="11">
        <f t="shared" ref="V6:V9" si="4">V5+T6</f>
        <v>0.91999999999999993</v>
      </c>
    </row>
    <row r="7" spans="1:24" x14ac:dyDescent="0.25">
      <c r="A7" s="4">
        <v>1.31524</v>
      </c>
      <c r="B7" s="5">
        <v>1.91276</v>
      </c>
      <c r="D7" s="1" t="s">
        <v>0</v>
      </c>
      <c r="E7" s="1" t="s">
        <v>1</v>
      </c>
      <c r="H7" s="4">
        <v>1.0710900000000001</v>
      </c>
      <c r="I7" s="5">
        <v>-0.43187900000000001</v>
      </c>
      <c r="K7" s="1" t="s">
        <v>9</v>
      </c>
      <c r="L7" s="17">
        <f>(L5-L4)/(L6)</f>
        <v>0.33111833333333335</v>
      </c>
      <c r="M7" s="17">
        <f>(M5-M4)/(M6)</f>
        <v>1.3543966666666665</v>
      </c>
      <c r="O7" s="10">
        <v>4</v>
      </c>
      <c r="P7" s="15">
        <f t="shared" si="2"/>
        <v>1.9965550000000003</v>
      </c>
      <c r="Q7" s="16">
        <f t="shared" si="2"/>
        <v>2.3276733333333337</v>
      </c>
      <c r="R7" s="12">
        <f t="shared" si="0"/>
        <v>2.162114166666667</v>
      </c>
      <c r="S7" s="12">
        <v>2</v>
      </c>
      <c r="T7" s="12">
        <f t="shared" si="1"/>
        <v>0.04</v>
      </c>
      <c r="U7" s="12">
        <f t="shared" si="3"/>
        <v>0.12080273416855002</v>
      </c>
      <c r="V7" s="11">
        <f t="shared" si="4"/>
        <v>0.96</v>
      </c>
    </row>
    <row r="8" spans="1:24" x14ac:dyDescent="0.25">
      <c r="A8" s="4">
        <v>1.0032000000000001</v>
      </c>
      <c r="B8" s="5">
        <v>-0.43187900000000001</v>
      </c>
      <c r="D8" s="1">
        <f>_xlfn.VAR.S(A3:A52)</f>
        <v>0.16842184981391609</v>
      </c>
      <c r="E8" s="1">
        <f>_xlfn.VAR.S(B3:B52)</f>
        <v>3.7976036708135497</v>
      </c>
      <c r="H8" s="4">
        <v>1.09911</v>
      </c>
      <c r="I8" s="5">
        <v>-0.17352000000000001</v>
      </c>
      <c r="O8" s="10">
        <v>5</v>
      </c>
      <c r="P8" s="15">
        <f t="shared" si="2"/>
        <v>2.3276733333333337</v>
      </c>
      <c r="Q8" s="16">
        <f t="shared" si="2"/>
        <v>2.6587916666666671</v>
      </c>
      <c r="R8" s="12">
        <f t="shared" si="0"/>
        <v>2.4932325000000004</v>
      </c>
      <c r="S8" s="12">
        <v>0</v>
      </c>
      <c r="T8" s="12">
        <f t="shared" si="1"/>
        <v>0</v>
      </c>
      <c r="U8" s="12">
        <f t="shared" si="3"/>
        <v>0</v>
      </c>
      <c r="V8" s="11">
        <f t="shared" si="4"/>
        <v>0.96</v>
      </c>
    </row>
    <row r="9" spans="1:24" x14ac:dyDescent="0.25">
      <c r="A9" s="4">
        <v>1.0710900000000001</v>
      </c>
      <c r="B9" s="5">
        <v>3.9186800000000002</v>
      </c>
      <c r="H9" s="4">
        <v>1.1195900000000001</v>
      </c>
      <c r="I9" s="5">
        <v>-0.13830100000000001</v>
      </c>
      <c r="O9" s="10">
        <v>6</v>
      </c>
      <c r="P9" s="15">
        <f t="shared" si="2"/>
        <v>2.6587916666666671</v>
      </c>
      <c r="Q9" s="16">
        <f t="shared" si="2"/>
        <v>2.9899100000000005</v>
      </c>
      <c r="R9" s="12">
        <f t="shared" si="0"/>
        <v>2.8243508333333338</v>
      </c>
      <c r="S9" s="12">
        <v>2</v>
      </c>
      <c r="T9" s="12">
        <f t="shared" si="1"/>
        <v>0.04</v>
      </c>
      <c r="U9" s="12">
        <f t="shared" si="3"/>
        <v>0.12080273416855002</v>
      </c>
      <c r="V9" s="11">
        <f t="shared" si="4"/>
        <v>1</v>
      </c>
    </row>
    <row r="10" spans="1:24" x14ac:dyDescent="0.25">
      <c r="A10" s="4">
        <v>1.0472900000000001</v>
      </c>
      <c r="B10" s="5">
        <v>2.7407699999999999</v>
      </c>
      <c r="D10" s="1" t="s">
        <v>4</v>
      </c>
      <c r="H10" s="4">
        <v>1.1511100000000001</v>
      </c>
      <c r="I10" s="5">
        <v>-3.0000000000000001E-3</v>
      </c>
      <c r="K10" s="1" t="s">
        <v>20</v>
      </c>
      <c r="L10" s="1" t="s">
        <v>21</v>
      </c>
      <c r="M10" s="1">
        <f>ROUNDDOWN((1 + LOG(50,2)),0)</f>
        <v>6</v>
      </c>
      <c r="O10" s="10" t="s">
        <v>13</v>
      </c>
      <c r="P10" s="15"/>
      <c r="Q10" s="16"/>
      <c r="R10" s="12"/>
      <c r="S10" s="12">
        <f>SUM(_xlfn.ANCHORARRAY(S4))</f>
        <v>50</v>
      </c>
      <c r="T10" s="12">
        <f>SUM(T4:T9)</f>
        <v>1</v>
      </c>
      <c r="U10" s="12"/>
      <c r="V10" s="11"/>
    </row>
    <row r="11" spans="1:24" x14ac:dyDescent="0.25">
      <c r="A11" s="4">
        <v>1.4408700000000001</v>
      </c>
      <c r="B11" s="5">
        <v>5.4681600000000001</v>
      </c>
      <c r="D11" s="1" t="s">
        <v>0</v>
      </c>
      <c r="E11" s="1" t="s">
        <v>1</v>
      </c>
      <c r="H11" s="4">
        <v>1.1653800000000001</v>
      </c>
      <c r="I11" s="5">
        <v>0.27818100000000001</v>
      </c>
    </row>
    <row r="12" spans="1:24" x14ac:dyDescent="0.25">
      <c r="A12" s="6">
        <v>2.1596799999999998</v>
      </c>
      <c r="B12" s="5">
        <v>5.1539200000000003</v>
      </c>
      <c r="D12" s="1">
        <f>_xlfn.STDEV.S(A3:A52)</f>
        <v>0.41039231207944926</v>
      </c>
      <c r="E12" s="1">
        <f>_xlfn.STDEV.S(B3:B52)</f>
        <v>1.9487441265629384</v>
      </c>
      <c r="H12" s="4">
        <v>1.16568</v>
      </c>
      <c r="I12" s="5">
        <v>0.42441400000000001</v>
      </c>
      <c r="O12" s="1" t="s">
        <v>12</v>
      </c>
    </row>
    <row r="13" spans="1:24" ht="42.75" x14ac:dyDescent="0.25">
      <c r="A13" s="4">
        <v>1.98302</v>
      </c>
      <c r="B13" s="5">
        <v>1.16337</v>
      </c>
      <c r="H13" s="4">
        <v>1.19563</v>
      </c>
      <c r="I13" s="5">
        <v>1.0916300000000001</v>
      </c>
      <c r="O13" s="13" t="s">
        <v>10</v>
      </c>
      <c r="P13" s="13" t="s">
        <v>14</v>
      </c>
      <c r="Q13" s="13" t="s">
        <v>15</v>
      </c>
      <c r="R13" s="13" t="s">
        <v>16</v>
      </c>
      <c r="S13" s="13" t="s">
        <v>17</v>
      </c>
      <c r="T13" s="13" t="s">
        <v>18</v>
      </c>
      <c r="U13" s="13" t="s">
        <v>22</v>
      </c>
      <c r="V13" s="14" t="s">
        <v>19</v>
      </c>
    </row>
    <row r="14" spans="1:24" x14ac:dyDescent="0.25">
      <c r="A14" s="4">
        <v>1.8041400000000001</v>
      </c>
      <c r="B14" s="5">
        <v>2.7423299999999999</v>
      </c>
      <c r="H14" s="4">
        <v>1.2020200000000001</v>
      </c>
      <c r="I14" s="5">
        <v>1.16337</v>
      </c>
      <c r="O14" s="10">
        <v>1</v>
      </c>
      <c r="P14" s="15">
        <f>M4</f>
        <v>-1.6568700000000001</v>
      </c>
      <c r="Q14" s="16">
        <f>P15</f>
        <v>-0.30247333333333359</v>
      </c>
      <c r="R14" s="12">
        <f t="shared" ref="R14:R19" si="5">(P14+Q14)/2</f>
        <v>-0.97967166666666683</v>
      </c>
      <c r="S14" s="12" cm="1">
        <f t="array" ref="S14:S19">FREQUENCY(I3:I52,P15:P19)</f>
        <v>5</v>
      </c>
      <c r="T14" s="12">
        <f>S14/$S$20</f>
        <v>0.1</v>
      </c>
      <c r="U14" s="12">
        <f>T14/$M$7</f>
        <v>7.3833613490877872E-2</v>
      </c>
      <c r="V14" s="11">
        <f>T14</f>
        <v>0.1</v>
      </c>
    </row>
    <row r="15" spans="1:24" x14ac:dyDescent="0.25">
      <c r="A15" s="4">
        <v>1.60971</v>
      </c>
      <c r="B15" s="5">
        <v>-3.0000000000000001E-3</v>
      </c>
      <c r="H15" s="4">
        <v>1.2312099999999999</v>
      </c>
      <c r="I15" s="5">
        <v>1.25841</v>
      </c>
      <c r="O15" s="10">
        <v>2</v>
      </c>
      <c r="P15" s="15">
        <f t="shared" ref="P15:Q19" si="6">P14+$M$7</f>
        <v>-0.30247333333333359</v>
      </c>
      <c r="Q15" s="16">
        <f t="shared" si="6"/>
        <v>1.0519233333333329</v>
      </c>
      <c r="R15" s="12">
        <f t="shared" si="5"/>
        <v>0.37472499999999964</v>
      </c>
      <c r="S15" s="12">
        <v>5</v>
      </c>
      <c r="T15" s="12">
        <f t="shared" ref="T15:T19" si="7">S15/$S$20</f>
        <v>0.1</v>
      </c>
      <c r="U15" s="12">
        <f t="shared" ref="U15:U19" si="8">T15/$M$7</f>
        <v>7.3833613490877872E-2</v>
      </c>
      <c r="V15" s="11">
        <f>V14+T15</f>
        <v>0.2</v>
      </c>
    </row>
    <row r="16" spans="1:24" x14ac:dyDescent="0.25">
      <c r="A16" s="4">
        <v>1.35405</v>
      </c>
      <c r="B16" s="5">
        <v>1.63781</v>
      </c>
      <c r="H16" s="4">
        <v>1.2785299999999999</v>
      </c>
      <c r="I16" s="5">
        <v>1.49274</v>
      </c>
      <c r="O16" s="10">
        <v>3</v>
      </c>
      <c r="P16" s="15">
        <f t="shared" si="6"/>
        <v>1.0519233333333329</v>
      </c>
      <c r="Q16" s="16">
        <f t="shared" si="6"/>
        <v>2.4063199999999991</v>
      </c>
      <c r="R16" s="12">
        <f t="shared" si="5"/>
        <v>1.729121666666666</v>
      </c>
      <c r="S16" s="12">
        <v>12</v>
      </c>
      <c r="T16" s="12">
        <f t="shared" si="7"/>
        <v>0.24</v>
      </c>
      <c r="U16" s="12">
        <f t="shared" si="8"/>
        <v>0.17720067237810688</v>
      </c>
      <c r="V16" s="11">
        <f t="shared" ref="V16:V19" si="9">V15+T16</f>
        <v>0.44</v>
      </c>
    </row>
    <row r="17" spans="1:22" x14ac:dyDescent="0.25">
      <c r="A17" s="4">
        <v>1.43868</v>
      </c>
      <c r="B17" s="5">
        <v>3.81745</v>
      </c>
      <c r="H17" s="4">
        <v>1.28857</v>
      </c>
      <c r="I17" s="5">
        <v>1.5833200000000001</v>
      </c>
      <c r="O17" s="10">
        <v>4</v>
      </c>
      <c r="P17" s="15">
        <f t="shared" si="6"/>
        <v>2.4063199999999991</v>
      </c>
      <c r="Q17" s="16">
        <f t="shared" si="6"/>
        <v>3.7607166666666654</v>
      </c>
      <c r="R17" s="12">
        <f t="shared" si="5"/>
        <v>3.0835183333333323</v>
      </c>
      <c r="S17" s="12">
        <v>13</v>
      </c>
      <c r="T17" s="12">
        <f t="shared" si="7"/>
        <v>0.26</v>
      </c>
      <c r="U17" s="12">
        <f t="shared" si="8"/>
        <v>0.19196739507628247</v>
      </c>
      <c r="V17" s="11">
        <f t="shared" si="9"/>
        <v>0.7</v>
      </c>
    </row>
    <row r="18" spans="1:22" x14ac:dyDescent="0.25">
      <c r="A18" s="4">
        <v>1.79559</v>
      </c>
      <c r="B18" s="5">
        <v>4.2461700000000002</v>
      </c>
      <c r="H18" s="4">
        <v>1.31524</v>
      </c>
      <c r="I18" s="5">
        <v>1.5901099999999999</v>
      </c>
      <c r="O18" s="10">
        <v>5</v>
      </c>
      <c r="P18" s="15">
        <f t="shared" si="6"/>
        <v>3.7607166666666654</v>
      </c>
      <c r="Q18" s="16">
        <f t="shared" si="6"/>
        <v>5.1151133333333316</v>
      </c>
      <c r="R18" s="12">
        <f t="shared" si="5"/>
        <v>4.4379149999999985</v>
      </c>
      <c r="S18" s="12">
        <v>10</v>
      </c>
      <c r="T18" s="12">
        <f t="shared" si="7"/>
        <v>0.2</v>
      </c>
      <c r="U18" s="12">
        <f t="shared" si="8"/>
        <v>0.14766722698175574</v>
      </c>
      <c r="V18" s="11">
        <f t="shared" si="9"/>
        <v>0.89999999999999991</v>
      </c>
    </row>
    <row r="19" spans="1:22" x14ac:dyDescent="0.25">
      <c r="A19" s="4">
        <v>1.09911</v>
      </c>
      <c r="B19" s="5">
        <v>4.3758400000000002</v>
      </c>
      <c r="H19" s="4">
        <v>1.33144</v>
      </c>
      <c r="I19" s="5">
        <v>1.63781</v>
      </c>
      <c r="O19" s="10">
        <v>6</v>
      </c>
      <c r="P19" s="15">
        <f t="shared" si="6"/>
        <v>5.1151133333333316</v>
      </c>
      <c r="Q19" s="16">
        <f t="shared" si="6"/>
        <v>6.4695099999999979</v>
      </c>
      <c r="R19" s="12">
        <f t="shared" si="5"/>
        <v>5.7923116666666647</v>
      </c>
      <c r="S19" s="12">
        <v>5</v>
      </c>
      <c r="T19" s="12">
        <f t="shared" si="7"/>
        <v>0.1</v>
      </c>
      <c r="U19" s="12">
        <f t="shared" si="8"/>
        <v>7.3833613490877872E-2</v>
      </c>
      <c r="V19" s="11">
        <f t="shared" si="9"/>
        <v>0.99999999999999989</v>
      </c>
    </row>
    <row r="20" spans="1:22" x14ac:dyDescent="0.25">
      <c r="A20" s="4">
        <v>1.4523900000000001</v>
      </c>
      <c r="B20" s="5">
        <v>5.0537799999999997</v>
      </c>
      <c r="H20" s="4">
        <v>1.35405</v>
      </c>
      <c r="I20" s="5">
        <v>1.72692</v>
      </c>
      <c r="O20" s="10" t="s">
        <v>13</v>
      </c>
      <c r="P20" s="15"/>
      <c r="Q20" s="16"/>
      <c r="R20" s="12"/>
      <c r="S20" s="12">
        <f>SUM(_xlfn.ANCHORARRAY(S14))</f>
        <v>50</v>
      </c>
      <c r="T20" s="12">
        <f>SUM(T14:T19)</f>
        <v>0.99999999999999989</v>
      </c>
      <c r="U20" s="12"/>
      <c r="V20" s="11"/>
    </row>
    <row r="21" spans="1:22" x14ac:dyDescent="0.25">
      <c r="A21" s="4">
        <v>1.43075</v>
      </c>
      <c r="B21" s="5">
        <v>5.10623</v>
      </c>
      <c r="H21" s="4">
        <v>1.38235</v>
      </c>
      <c r="I21" s="5">
        <v>1.7513700000000001</v>
      </c>
    </row>
    <row r="22" spans="1:22" x14ac:dyDescent="0.25">
      <c r="A22" s="4">
        <v>1.2312099999999999</v>
      </c>
      <c r="B22" s="5">
        <v>-1.6568700000000001</v>
      </c>
      <c r="H22" s="4">
        <v>1.39706</v>
      </c>
      <c r="I22" s="5">
        <v>1.9047400000000001</v>
      </c>
      <c r="K22" s="1" t="s">
        <v>23</v>
      </c>
    </row>
    <row r="23" spans="1:22" x14ac:dyDescent="0.25">
      <c r="A23" s="4">
        <v>1.0301</v>
      </c>
      <c r="B23" s="5">
        <v>2.9357099999999998</v>
      </c>
      <c r="H23" s="4">
        <v>1.43075</v>
      </c>
      <c r="I23" s="5">
        <v>1.91276</v>
      </c>
    </row>
    <row r="24" spans="1:22" x14ac:dyDescent="0.25">
      <c r="A24" s="4">
        <v>1.6012599999999999</v>
      </c>
      <c r="B24" s="5">
        <v>1.49274</v>
      </c>
      <c r="H24" s="4">
        <v>1.43868</v>
      </c>
      <c r="I24" s="5">
        <v>2.3263500000000001</v>
      </c>
    </row>
    <row r="25" spans="1:22" x14ac:dyDescent="0.25">
      <c r="A25" s="6">
        <v>2.9899100000000001</v>
      </c>
      <c r="B25" s="5">
        <v>3.99708</v>
      </c>
      <c r="H25" s="4">
        <v>1.4408700000000001</v>
      </c>
      <c r="I25" s="5">
        <v>2.4750100000000002</v>
      </c>
    </row>
    <row r="26" spans="1:22" x14ac:dyDescent="0.25">
      <c r="A26" s="4">
        <v>1.8061400000000001</v>
      </c>
      <c r="B26" s="5">
        <v>4.6470500000000001</v>
      </c>
      <c r="H26" s="4">
        <v>1.4523900000000001</v>
      </c>
      <c r="I26" s="5">
        <v>2.7407699999999999</v>
      </c>
    </row>
    <row r="27" spans="1:22" x14ac:dyDescent="0.25">
      <c r="A27" s="4">
        <v>1.1653800000000001</v>
      </c>
      <c r="B27" s="5">
        <v>5.2593199999999998</v>
      </c>
      <c r="H27" s="4">
        <v>1.46665</v>
      </c>
      <c r="I27" s="5">
        <v>2.7423299999999999</v>
      </c>
    </row>
    <row r="28" spans="1:22" x14ac:dyDescent="0.25">
      <c r="A28" s="4">
        <v>1.83894</v>
      </c>
      <c r="B28" s="5">
        <v>2.8339300000000001</v>
      </c>
      <c r="H28" s="4">
        <v>1.4887300000000001</v>
      </c>
      <c r="I28" s="5">
        <v>2.7600500000000001</v>
      </c>
    </row>
    <row r="29" spans="1:22" x14ac:dyDescent="0.25">
      <c r="A29" s="4">
        <v>1.38235</v>
      </c>
      <c r="B29" s="5">
        <v>1.0916300000000001</v>
      </c>
      <c r="H29" s="4">
        <v>1.5667199999999999</v>
      </c>
      <c r="I29" s="5">
        <v>2.7949199999999998</v>
      </c>
    </row>
    <row r="30" spans="1:22" x14ac:dyDescent="0.25">
      <c r="A30" s="4">
        <v>1.16568</v>
      </c>
      <c r="B30" s="5">
        <v>-0.74036199999999996</v>
      </c>
      <c r="H30" s="4">
        <v>1.59293</v>
      </c>
      <c r="I30" s="5">
        <v>2.8339300000000001</v>
      </c>
    </row>
    <row r="31" spans="1:22" x14ac:dyDescent="0.25">
      <c r="A31" s="4">
        <v>1.19563</v>
      </c>
      <c r="B31" s="5">
        <v>2.7600500000000001</v>
      </c>
      <c r="H31" s="4">
        <v>1.6012599999999999</v>
      </c>
      <c r="I31" s="5">
        <v>2.9357099999999998</v>
      </c>
    </row>
    <row r="32" spans="1:22" x14ac:dyDescent="0.25">
      <c r="A32" s="4">
        <v>1.46665</v>
      </c>
      <c r="B32" s="5">
        <v>1.9047400000000001</v>
      </c>
      <c r="H32" s="4">
        <v>1.60833</v>
      </c>
      <c r="I32" s="5">
        <v>3.0167700000000002</v>
      </c>
    </row>
    <row r="33" spans="1:9" x14ac:dyDescent="0.25">
      <c r="A33" s="4">
        <v>1.59293</v>
      </c>
      <c r="B33" s="5">
        <v>3.0217100000000001</v>
      </c>
      <c r="H33" s="4">
        <v>1.60971</v>
      </c>
      <c r="I33" s="5">
        <v>3.0217100000000001</v>
      </c>
    </row>
    <row r="34" spans="1:9" x14ac:dyDescent="0.25">
      <c r="A34" s="4">
        <v>1.7760800000000001</v>
      </c>
      <c r="B34" s="5">
        <v>3.7261500000000001</v>
      </c>
      <c r="H34" s="4">
        <v>1.6140699999999999</v>
      </c>
      <c r="I34" s="5">
        <v>3.1695199999999999</v>
      </c>
    </row>
    <row r="35" spans="1:9" x14ac:dyDescent="0.25">
      <c r="A35" s="4">
        <v>1.2785299999999999</v>
      </c>
      <c r="B35" s="5">
        <v>1.72692</v>
      </c>
      <c r="H35" s="4">
        <v>1.6327499999999999</v>
      </c>
      <c r="I35" s="5">
        <v>3.1700400000000002</v>
      </c>
    </row>
    <row r="36" spans="1:9" x14ac:dyDescent="0.25">
      <c r="A36" s="4">
        <v>1.64323</v>
      </c>
      <c r="B36" s="5">
        <v>3.8111799999999998</v>
      </c>
      <c r="H36" s="4">
        <v>1.63835</v>
      </c>
      <c r="I36" s="5">
        <v>3.7054800000000001</v>
      </c>
    </row>
    <row r="37" spans="1:9" x14ac:dyDescent="0.25">
      <c r="A37" s="4">
        <v>1.33144</v>
      </c>
      <c r="B37" s="5">
        <v>0.27818100000000001</v>
      </c>
      <c r="H37" s="4">
        <v>1.64323</v>
      </c>
      <c r="I37" s="5">
        <v>3.7261500000000001</v>
      </c>
    </row>
    <row r="38" spans="1:9" x14ac:dyDescent="0.25">
      <c r="A38" s="4">
        <v>1.39706</v>
      </c>
      <c r="B38" s="5">
        <v>5.4249200000000002</v>
      </c>
      <c r="H38" s="4">
        <v>1.6846699999999999</v>
      </c>
      <c r="I38" s="5">
        <v>3.8111799999999998</v>
      </c>
    </row>
    <row r="39" spans="1:9" x14ac:dyDescent="0.25">
      <c r="A39" s="4">
        <v>1.1195900000000001</v>
      </c>
      <c r="B39" s="5">
        <v>6.4695099999999996</v>
      </c>
      <c r="H39" s="4">
        <v>1.7030099999999999</v>
      </c>
      <c r="I39" s="5">
        <v>3.81745</v>
      </c>
    </row>
    <row r="40" spans="1:9" x14ac:dyDescent="0.25">
      <c r="A40" s="4">
        <v>1.2020200000000001</v>
      </c>
      <c r="B40" s="5">
        <v>3.1700400000000002</v>
      </c>
      <c r="H40" s="4">
        <v>1.7760800000000001</v>
      </c>
      <c r="I40" s="5">
        <v>3.9186800000000002</v>
      </c>
    </row>
    <row r="41" spans="1:9" x14ac:dyDescent="0.25">
      <c r="A41" s="4">
        <v>1.96417</v>
      </c>
      <c r="B41" s="5">
        <v>1.5833200000000001</v>
      </c>
      <c r="H41" s="4">
        <v>1.79559</v>
      </c>
      <c r="I41" s="5">
        <v>3.99708</v>
      </c>
    </row>
    <row r="42" spans="1:9" x14ac:dyDescent="0.25">
      <c r="A42" s="4">
        <v>1.6327499999999999</v>
      </c>
      <c r="B42" s="5">
        <v>2.7949199999999998</v>
      </c>
      <c r="H42" s="4">
        <v>1.79654</v>
      </c>
      <c r="I42" s="5">
        <v>4.2461700000000002</v>
      </c>
    </row>
    <row r="43" spans="1:9" x14ac:dyDescent="0.25">
      <c r="A43" s="4">
        <v>1.00892</v>
      </c>
      <c r="B43" s="5">
        <v>1.7513700000000001</v>
      </c>
      <c r="H43" s="4">
        <v>1.8041400000000001</v>
      </c>
      <c r="I43" s="5">
        <v>4.3758400000000002</v>
      </c>
    </row>
    <row r="44" spans="1:9" x14ac:dyDescent="0.25">
      <c r="A44" s="4">
        <v>1.80463</v>
      </c>
      <c r="B44" s="5">
        <v>1.25841</v>
      </c>
      <c r="H44" s="4">
        <v>1.80463</v>
      </c>
      <c r="I44" s="5">
        <v>4.6064499999999997</v>
      </c>
    </row>
    <row r="45" spans="1:9" x14ac:dyDescent="0.25">
      <c r="A45" s="4">
        <v>1.7030099999999999</v>
      </c>
      <c r="B45" s="5">
        <v>1.5901099999999999</v>
      </c>
      <c r="H45" s="4">
        <v>1.8061400000000001</v>
      </c>
      <c r="I45" s="5">
        <v>4.6470500000000001</v>
      </c>
    </row>
    <row r="46" spans="1:9" x14ac:dyDescent="0.25">
      <c r="A46" s="6">
        <v>2.1029599999999999</v>
      </c>
      <c r="B46" s="5">
        <v>-0.13830100000000001</v>
      </c>
      <c r="H46" s="4">
        <v>1.83894</v>
      </c>
      <c r="I46" s="5">
        <v>5.0537799999999997</v>
      </c>
    </row>
    <row r="47" spans="1:9" x14ac:dyDescent="0.25">
      <c r="A47" s="4">
        <v>1.5667199999999999</v>
      </c>
      <c r="B47" s="5">
        <v>3.7054800000000001</v>
      </c>
      <c r="H47" s="4">
        <v>1.96417</v>
      </c>
      <c r="I47" s="5">
        <v>5.10623</v>
      </c>
    </row>
    <row r="48" spans="1:9" x14ac:dyDescent="0.25">
      <c r="A48" s="4">
        <v>1.63835</v>
      </c>
      <c r="B48" s="5">
        <v>-0.60269700000000004</v>
      </c>
      <c r="H48" s="4">
        <v>1.98302</v>
      </c>
      <c r="I48" s="5">
        <v>5.1539200000000003</v>
      </c>
    </row>
    <row r="49" spans="1:9" x14ac:dyDescent="0.25">
      <c r="A49" s="4">
        <v>1.60833</v>
      </c>
      <c r="B49" s="5">
        <v>4.6064499999999997</v>
      </c>
      <c r="H49" s="6">
        <v>2.1029599999999999</v>
      </c>
      <c r="I49" s="5">
        <v>5.2593199999999998</v>
      </c>
    </row>
    <row r="50" spans="1:9" x14ac:dyDescent="0.25">
      <c r="A50" s="4">
        <v>1.28857</v>
      </c>
      <c r="B50" s="5">
        <v>-0.73702800000000002</v>
      </c>
      <c r="H50" s="6">
        <v>2.1596799999999998</v>
      </c>
      <c r="I50" s="5">
        <v>5.4249200000000002</v>
      </c>
    </row>
    <row r="51" spans="1:9" x14ac:dyDescent="0.25">
      <c r="A51" s="4">
        <v>1.6846699999999999</v>
      </c>
      <c r="B51" s="5">
        <v>0.42441400000000001</v>
      </c>
      <c r="H51" s="6">
        <v>2.8480599999999998</v>
      </c>
      <c r="I51" s="5">
        <v>5.4681600000000001</v>
      </c>
    </row>
    <row r="52" spans="1:9" ht="15.75" thickBot="1" x14ac:dyDescent="0.3">
      <c r="A52" s="7">
        <v>1.4887300000000001</v>
      </c>
      <c r="B52" s="8">
        <v>2.4750100000000002</v>
      </c>
      <c r="H52" s="9">
        <v>2.9899100000000001</v>
      </c>
      <c r="I52" s="8">
        <v>6.4695099999999996</v>
      </c>
    </row>
  </sheetData>
  <sortState xmlns:xlrd2="http://schemas.microsoft.com/office/spreadsheetml/2017/richdata2" ref="M1:M53">
    <sortCondition ref="M1:M53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10E-1330-4351-BA66-3E21EDBF54C5}">
  <sheetPr>
    <tabColor theme="7" tint="0.39997558519241921"/>
  </sheetPr>
  <dimension ref="A1:M50"/>
  <sheetViews>
    <sheetView topLeftCell="A5" zoomScale="53" zoomScaleNormal="70" workbookViewId="0">
      <selection activeCell="E7" sqref="E7"/>
    </sheetView>
  </sheetViews>
  <sheetFormatPr defaultColWidth="10.85546875" defaultRowHeight="15.75" x14ac:dyDescent="0.25"/>
  <cols>
    <col min="1" max="3" width="10.85546875" style="18"/>
    <col min="4" max="4" width="67.140625" style="18" customWidth="1"/>
    <col min="5" max="5" width="23.7109375" style="18" customWidth="1"/>
    <col min="6" max="6" width="47.42578125" style="18" customWidth="1"/>
    <col min="7" max="7" width="43.5703125" style="18" customWidth="1"/>
    <col min="8" max="8" width="20.5703125" style="18" customWidth="1"/>
    <col min="9" max="16384" width="10.85546875" style="18"/>
  </cols>
  <sheetData>
    <row r="1" spans="1:13" x14ac:dyDescent="0.25">
      <c r="A1" s="52">
        <v>1.0032000000000001</v>
      </c>
      <c r="B1" s="42">
        <f>POWER(A1-$E$15, 2)</f>
        <v>0.29074807115235962</v>
      </c>
      <c r="C1" s="42"/>
      <c r="D1" s="18" t="s">
        <v>40</v>
      </c>
      <c r="H1" s="19"/>
    </row>
    <row r="2" spans="1:13" x14ac:dyDescent="0.25">
      <c r="A2" s="53">
        <v>1.00892</v>
      </c>
      <c r="B2" s="42">
        <f t="shared" ref="B2:B50" si="0">POWER(A2-$E$15, 2)</f>
        <v>0.2846122202883597</v>
      </c>
      <c r="C2" s="42"/>
      <c r="H2" s="19"/>
    </row>
    <row r="3" spans="1:13" ht="63" x14ac:dyDescent="0.25">
      <c r="A3" s="53">
        <v>1.0301</v>
      </c>
      <c r="B3" s="42">
        <f t="shared" si="0"/>
        <v>0.26246215087235975</v>
      </c>
      <c r="C3" s="42"/>
      <c r="D3" s="44"/>
      <c r="E3" s="45" t="s">
        <v>38</v>
      </c>
      <c r="F3" s="46"/>
      <c r="G3" s="47" t="s">
        <v>39</v>
      </c>
      <c r="H3" s="20"/>
      <c r="M3"/>
    </row>
    <row r="4" spans="1:13" x14ac:dyDescent="0.25">
      <c r="A4" s="53">
        <v>1.0472900000000001</v>
      </c>
      <c r="B4" s="42">
        <f t="shared" si="0"/>
        <v>0.2451444085443597</v>
      </c>
      <c r="C4" s="42"/>
      <c r="D4" s="19"/>
      <c r="E4" s="19"/>
      <c r="F4" s="19"/>
      <c r="G4" s="19"/>
    </row>
    <row r="5" spans="1:13" ht="108.95" customHeight="1" x14ac:dyDescent="0.25">
      <c r="A5" s="53">
        <v>1.0710900000000001</v>
      </c>
      <c r="B5" s="42">
        <f t="shared" si="0"/>
        <v>0.22214310798435966</v>
      </c>
      <c r="C5" s="42"/>
      <c r="D5" s="48"/>
      <c r="E5" s="45" t="s">
        <v>36</v>
      </c>
      <c r="F5" s="49" t="s">
        <v>37</v>
      </c>
    </row>
    <row r="6" spans="1:13" x14ac:dyDescent="0.25">
      <c r="A6" s="53">
        <v>1.09911</v>
      </c>
      <c r="B6" s="42">
        <f t="shared" si="0"/>
        <v>0.19651542196035973</v>
      </c>
      <c r="C6" s="42"/>
    </row>
    <row r="7" spans="1:13" ht="69" customHeight="1" x14ac:dyDescent="0.25">
      <c r="A7" s="53">
        <v>1.1195900000000001</v>
      </c>
      <c r="B7" s="42">
        <f t="shared" si="0"/>
        <v>0.17877725978435971</v>
      </c>
      <c r="C7" s="42"/>
      <c r="D7" s="50"/>
      <c r="E7" s="45" t="s">
        <v>41</v>
      </c>
      <c r="F7" s="51" t="s">
        <v>52</v>
      </c>
    </row>
    <row r="8" spans="1:13" x14ac:dyDescent="0.25">
      <c r="A8" s="53">
        <v>1.1511100000000001</v>
      </c>
      <c r="B8" s="42">
        <f t="shared" si="0"/>
        <v>0.15311615956035973</v>
      </c>
      <c r="C8" s="42"/>
    </row>
    <row r="9" spans="1:13" ht="18.95" customHeight="1" x14ac:dyDescent="0.25">
      <c r="A9" s="53">
        <v>1.1653800000000001</v>
      </c>
      <c r="B9" s="42">
        <f t="shared" si="0"/>
        <v>0.14215207333635974</v>
      </c>
      <c r="C9" s="42"/>
    </row>
    <row r="10" spans="1:13" x14ac:dyDescent="0.25">
      <c r="A10" s="53">
        <v>1.16568</v>
      </c>
      <c r="B10" s="42">
        <f t="shared" si="0"/>
        <v>0.14192594497635977</v>
      </c>
      <c r="C10" s="42"/>
      <c r="D10" s="94" t="s">
        <v>31</v>
      </c>
      <c r="E10" s="21"/>
      <c r="F10" s="34"/>
    </row>
    <row r="11" spans="1:13" x14ac:dyDescent="0.25">
      <c r="A11" s="53">
        <v>1.19563</v>
      </c>
      <c r="B11" s="42">
        <f t="shared" si="0"/>
        <v>0.12025678453635984</v>
      </c>
      <c r="C11" s="42"/>
      <c r="D11" s="95"/>
      <c r="E11" s="22"/>
      <c r="F11" s="35"/>
    </row>
    <row r="12" spans="1:13" x14ac:dyDescent="0.25">
      <c r="A12" s="53">
        <v>1.2020200000000001</v>
      </c>
      <c r="B12" s="42">
        <f t="shared" si="0"/>
        <v>0.11586576056835976</v>
      </c>
      <c r="C12" s="42"/>
      <c r="D12" s="23" t="s">
        <v>46</v>
      </c>
      <c r="E12" s="43">
        <f>SQRT(1/49 * SUM(B1:B50))</f>
        <v>0.41039231207945204</v>
      </c>
      <c r="F12" s="41" t="s">
        <v>51</v>
      </c>
      <c r="H12" s="25" t="s">
        <v>45</v>
      </c>
      <c r="I12" s="25">
        <v>0.95</v>
      </c>
    </row>
    <row r="13" spans="1:13" x14ac:dyDescent="0.25">
      <c r="A13" s="53">
        <v>1.2312099999999999</v>
      </c>
      <c r="B13" s="42">
        <f t="shared" si="0"/>
        <v>9.684581344035989E-2</v>
      </c>
      <c r="C13" s="42"/>
      <c r="D13" s="25" t="s">
        <v>32</v>
      </c>
      <c r="E13" s="25">
        <f>_xlfn.T.INV(I14, 49)</f>
        <v>2.0095752371292388</v>
      </c>
      <c r="F13" s="41" t="s">
        <v>49</v>
      </c>
      <c r="H13" s="25" t="s">
        <v>27</v>
      </c>
      <c r="I13" s="25">
        <f>1-I12</f>
        <v>5.0000000000000044E-2</v>
      </c>
    </row>
    <row r="14" spans="1:13" x14ac:dyDescent="0.25">
      <c r="A14" s="53">
        <v>1.2785299999999999</v>
      </c>
      <c r="B14" s="42">
        <f t="shared" si="0"/>
        <v>6.9632971056359891E-2</v>
      </c>
      <c r="C14" s="42"/>
      <c r="D14" s="25" t="s">
        <v>29</v>
      </c>
      <c r="E14" s="25">
        <v>50</v>
      </c>
      <c r="F14" s="24"/>
      <c r="H14" s="25" t="s">
        <v>28</v>
      </c>
      <c r="I14" s="25">
        <f>1-I13/2</f>
        <v>0.97499999999999998</v>
      </c>
    </row>
    <row r="15" spans="1:13" x14ac:dyDescent="0.25">
      <c r="A15" s="53">
        <v>1.28857</v>
      </c>
      <c r="B15" s="42">
        <f t="shared" si="0"/>
        <v>6.4435050208359879E-2</v>
      </c>
      <c r="C15" s="42"/>
      <c r="D15" s="25" t="s">
        <v>30</v>
      </c>
      <c r="E15" s="26">
        <f>SUM(A1:A50)/E14</f>
        <v>1.5424105999999997</v>
      </c>
      <c r="F15" s="36"/>
    </row>
    <row r="16" spans="1:13" ht="15.6" customHeight="1" x14ac:dyDescent="0.25">
      <c r="A16" s="53">
        <v>1.31524</v>
      </c>
      <c r="B16" s="42">
        <f t="shared" si="0"/>
        <v>5.1606481504359897E-2</v>
      </c>
      <c r="C16" s="42"/>
      <c r="D16" s="27" t="s">
        <v>25</v>
      </c>
      <c r="E16" s="28">
        <f>E15-(E12/SQRT(E14))*E13</f>
        <v>1.4257783953873973</v>
      </c>
      <c r="F16" s="37">
        <f>E15+(E12/SQRT(E14))*E13</f>
        <v>1.6590428046126022</v>
      </c>
      <c r="H16" s="98" t="s">
        <v>44</v>
      </c>
      <c r="I16" s="98"/>
    </row>
    <row r="17" spans="1:13" ht="26.1" customHeight="1" x14ac:dyDescent="0.25">
      <c r="A17" s="53">
        <v>1.33144</v>
      </c>
      <c r="B17" s="42">
        <f t="shared" si="0"/>
        <v>4.4508594064359912E-2</v>
      </c>
      <c r="C17" s="42"/>
      <c r="F17" s="38"/>
      <c r="H17" s="98"/>
      <c r="I17" s="98"/>
    </row>
    <row r="18" spans="1:13" x14ac:dyDescent="0.25">
      <c r="A18" s="53">
        <v>1.35405</v>
      </c>
      <c r="B18" s="42">
        <f t="shared" si="0"/>
        <v>3.5479715632359909E-2</v>
      </c>
      <c r="C18" s="42"/>
      <c r="F18" s="38"/>
      <c r="H18" s="98"/>
      <c r="I18" s="98"/>
    </row>
    <row r="19" spans="1:13" x14ac:dyDescent="0.25">
      <c r="A19" s="53">
        <v>1.38235</v>
      </c>
      <c r="B19" s="42">
        <f t="shared" si="0"/>
        <v>2.5619395672359928E-2</v>
      </c>
      <c r="C19" s="42"/>
      <c r="D19" s="96" t="s">
        <v>42</v>
      </c>
      <c r="E19" s="21"/>
      <c r="F19" s="34"/>
    </row>
    <row r="20" spans="1:13" x14ac:dyDescent="0.25">
      <c r="A20" s="53">
        <v>1.39706</v>
      </c>
      <c r="B20" s="42">
        <f t="shared" si="0"/>
        <v>2.1126796920359934E-2</v>
      </c>
      <c r="C20" s="42"/>
      <c r="D20" s="97"/>
      <c r="E20" s="22"/>
      <c r="F20" s="35"/>
      <c r="M20"/>
    </row>
    <row r="21" spans="1:13" x14ac:dyDescent="0.25">
      <c r="A21" s="53">
        <v>1.43075</v>
      </c>
      <c r="B21" s="42">
        <f t="shared" si="0"/>
        <v>1.2468089592359951E-2</v>
      </c>
      <c r="C21" s="42"/>
      <c r="D21" s="25" t="s">
        <v>26</v>
      </c>
      <c r="E21" s="29">
        <v>4</v>
      </c>
      <c r="F21" s="40" t="s">
        <v>48</v>
      </c>
      <c r="M21"/>
    </row>
    <row r="22" spans="1:13" ht="47.25" x14ac:dyDescent="0.25">
      <c r="A22" s="53">
        <v>1.43868</v>
      </c>
      <c r="B22" s="42">
        <f t="shared" si="0"/>
        <v>1.0760037376359955E-2</v>
      </c>
      <c r="C22" s="42"/>
      <c r="D22" s="30" t="s">
        <v>47</v>
      </c>
      <c r="E22" s="25">
        <f>_xlfn.NORM.S.INV(I14)</f>
        <v>1.9599639845400536</v>
      </c>
      <c r="F22" s="24"/>
    </row>
    <row r="23" spans="1:13" x14ac:dyDescent="0.25">
      <c r="A23" s="53">
        <v>1.4408700000000001</v>
      </c>
      <c r="B23" s="42">
        <f t="shared" si="0"/>
        <v>1.0310493448359928E-2</v>
      </c>
      <c r="C23" s="42"/>
      <c r="D23" s="25" t="s">
        <v>29</v>
      </c>
      <c r="E23" s="25">
        <v>50</v>
      </c>
      <c r="F23" s="24"/>
    </row>
    <row r="24" spans="1:13" x14ac:dyDescent="0.25">
      <c r="A24" s="53">
        <v>1.4523900000000001</v>
      </c>
      <c r="B24" s="42">
        <f t="shared" si="0"/>
        <v>8.1037084243599407E-3</v>
      </c>
      <c r="C24" s="42"/>
      <c r="D24" s="25" t="s">
        <v>30</v>
      </c>
      <c r="E24" s="26">
        <f>AVERAGE(A1:A50)</f>
        <v>1.5424105999999997</v>
      </c>
      <c r="F24" s="36"/>
    </row>
    <row r="25" spans="1:13" x14ac:dyDescent="0.25">
      <c r="A25" s="53">
        <v>1.46665</v>
      </c>
      <c r="B25" s="42">
        <f t="shared" si="0"/>
        <v>5.7396685123599599E-3</v>
      </c>
      <c r="C25" s="42"/>
      <c r="D25" s="27" t="s">
        <v>25</v>
      </c>
      <c r="E25" s="28">
        <f>E24-E22*(SQRT(E21)/SQRT(E23))</f>
        <v>0.98804907026012878</v>
      </c>
      <c r="F25" s="37">
        <f>E24+E22*(SQRT(E21)/SQRT(E23))</f>
        <v>2.0967721297398709</v>
      </c>
    </row>
    <row r="26" spans="1:13" x14ac:dyDescent="0.25">
      <c r="A26" s="53">
        <v>1.4887300000000001</v>
      </c>
      <c r="B26" s="42">
        <f t="shared" si="0"/>
        <v>2.8816068163599606E-3</v>
      </c>
      <c r="C26" s="42"/>
      <c r="F26" s="38"/>
    </row>
    <row r="27" spans="1:13" x14ac:dyDescent="0.25">
      <c r="A27" s="53">
        <v>1.5667199999999999</v>
      </c>
      <c r="B27" s="42">
        <f t="shared" si="0"/>
        <v>5.9094692836000721E-4</v>
      </c>
      <c r="C27" s="42"/>
      <c r="D27" s="94" t="s">
        <v>33</v>
      </c>
      <c r="E27" s="21"/>
      <c r="F27" s="34"/>
    </row>
    <row r="28" spans="1:13" x14ac:dyDescent="0.25">
      <c r="A28" s="53">
        <v>1.59293</v>
      </c>
      <c r="B28" s="42">
        <f t="shared" si="0"/>
        <v>2.5522097763600216E-3</v>
      </c>
      <c r="C28" s="42"/>
      <c r="D28" s="95"/>
      <c r="E28" s="22"/>
      <c r="F28" s="35"/>
    </row>
    <row r="29" spans="1:13" x14ac:dyDescent="0.25">
      <c r="A29" s="53">
        <v>1.6012599999999999</v>
      </c>
      <c r="B29" s="42">
        <f t="shared" si="0"/>
        <v>3.4632518803600193E-3</v>
      </c>
      <c r="C29" s="42"/>
      <c r="D29" s="23" t="s">
        <v>26</v>
      </c>
      <c r="E29" s="32">
        <f>_xlfn.VAR.P(A1:A50)</f>
        <v>0.16505341281764013</v>
      </c>
      <c r="F29" s="24"/>
    </row>
    <row r="30" spans="1:13" x14ac:dyDescent="0.25">
      <c r="A30" s="53">
        <v>1.60833</v>
      </c>
      <c r="B30" s="42">
        <f t="shared" si="0"/>
        <v>4.3453672963600391E-3</v>
      </c>
      <c r="C30" s="42"/>
      <c r="D30" s="25" t="s">
        <v>50</v>
      </c>
      <c r="E30" s="25">
        <f>_xlfn.CHISQ.INV(I13/2, 49)</f>
        <v>31.55491646266713</v>
      </c>
      <c r="F30" s="33">
        <f>_xlfn.CHISQ.INV(I14, 49)</f>
        <v>70.22241356643454</v>
      </c>
    </row>
    <row r="31" spans="1:13" x14ac:dyDescent="0.25">
      <c r="A31" s="53">
        <v>1.60971</v>
      </c>
      <c r="B31" s="42">
        <f t="shared" si="0"/>
        <v>4.5292092403600315E-3</v>
      </c>
      <c r="C31" s="42"/>
      <c r="D31" s="25" t="s">
        <v>29</v>
      </c>
      <c r="E31" s="23">
        <v>50</v>
      </c>
      <c r="F31" s="24"/>
    </row>
    <row r="32" spans="1:13" x14ac:dyDescent="0.25">
      <c r="A32" s="53">
        <v>1.6140699999999999</v>
      </c>
      <c r="B32" s="42">
        <f t="shared" si="0"/>
        <v>5.135069608360022E-3</v>
      </c>
      <c r="C32" s="42"/>
      <c r="D32" s="25" t="s">
        <v>30</v>
      </c>
      <c r="E32" s="26">
        <f>AVERAGE(A1:A50)</f>
        <v>1.5424105999999997</v>
      </c>
      <c r="F32" s="24"/>
    </row>
    <row r="33" spans="1:6" x14ac:dyDescent="0.25">
      <c r="A33" s="53">
        <v>1.6327499999999999</v>
      </c>
      <c r="B33" s="42">
        <f t="shared" si="0"/>
        <v>8.1612071923600326E-3</v>
      </c>
      <c r="C33" s="42"/>
      <c r="D33" s="25" t="s">
        <v>35</v>
      </c>
      <c r="E33" s="25">
        <f>_xlfn.VAR.S(A1:A50)</f>
        <v>0.16842184981391842</v>
      </c>
      <c r="F33" s="39" t="s">
        <v>43</v>
      </c>
    </row>
    <row r="34" spans="1:6" x14ac:dyDescent="0.25">
      <c r="A34" s="53">
        <v>1.63835</v>
      </c>
      <c r="B34" s="42">
        <f t="shared" si="0"/>
        <v>9.2043684723600444E-3</v>
      </c>
      <c r="C34" s="42"/>
      <c r="D34" s="27" t="s">
        <v>34</v>
      </c>
      <c r="E34" s="28">
        <f>((E31-1)*E33)/F30</f>
        <v>0.117521888265411</v>
      </c>
      <c r="F34" s="37">
        <f>((E31-1)*E33)/E30</f>
        <v>0.26153359178262447</v>
      </c>
    </row>
    <row r="35" spans="1:6" x14ac:dyDescent="0.25">
      <c r="A35" s="53">
        <v>1.64323</v>
      </c>
      <c r="B35" s="42">
        <f t="shared" si="0"/>
        <v>1.0164551416360046E-2</v>
      </c>
      <c r="C35" s="42"/>
    </row>
    <row r="36" spans="1:6" x14ac:dyDescent="0.25">
      <c r="A36" s="53">
        <v>1.6846699999999999</v>
      </c>
      <c r="B36" s="42">
        <f t="shared" si="0"/>
        <v>2.0237736888360041E-2</v>
      </c>
      <c r="C36" s="42"/>
      <c r="D36" s="31"/>
    </row>
    <row r="37" spans="1:6" x14ac:dyDescent="0.25">
      <c r="A37" s="53">
        <v>1.7030099999999999</v>
      </c>
      <c r="B37" s="42">
        <f t="shared" si="0"/>
        <v>2.5792167280360056E-2</v>
      </c>
      <c r="C37" s="42"/>
    </row>
    <row r="38" spans="1:6" x14ac:dyDescent="0.25">
      <c r="A38" s="53">
        <v>1.7760800000000001</v>
      </c>
      <c r="B38" s="42">
        <f t="shared" si="0"/>
        <v>5.4601388496360169E-2</v>
      </c>
      <c r="C38" s="42"/>
    </row>
    <row r="39" spans="1:6" x14ac:dyDescent="0.25">
      <c r="A39" s="53">
        <v>1.79559</v>
      </c>
      <c r="B39" s="42">
        <f t="shared" si="0"/>
        <v>6.4099808584360138E-2</v>
      </c>
      <c r="C39" s="42"/>
    </row>
    <row r="40" spans="1:6" x14ac:dyDescent="0.25">
      <c r="A40" s="53">
        <v>1.79654</v>
      </c>
      <c r="B40" s="42">
        <f t="shared" si="0"/>
        <v>6.4581751944360138E-2</v>
      </c>
      <c r="C40" s="42"/>
    </row>
    <row r="41" spans="1:6" x14ac:dyDescent="0.25">
      <c r="A41" s="53">
        <v>1.8041400000000001</v>
      </c>
      <c r="B41" s="42">
        <f t="shared" si="0"/>
        <v>6.8502278824360177E-2</v>
      </c>
      <c r="C41" s="42"/>
    </row>
    <row r="42" spans="1:6" x14ac:dyDescent="0.25">
      <c r="A42" s="53">
        <v>1.80463</v>
      </c>
      <c r="B42" s="42">
        <f t="shared" si="0"/>
        <v>6.8759013736360106E-2</v>
      </c>
      <c r="C42" s="42"/>
    </row>
    <row r="43" spans="1:6" x14ac:dyDescent="0.25">
      <c r="A43" s="53">
        <v>1.8061400000000001</v>
      </c>
      <c r="B43" s="42">
        <f t="shared" si="0"/>
        <v>6.9553196424360184E-2</v>
      </c>
      <c r="C43" s="42"/>
    </row>
    <row r="44" spans="1:6" x14ac:dyDescent="0.25">
      <c r="A44" s="53">
        <v>1.83894</v>
      </c>
      <c r="B44" s="42">
        <f t="shared" si="0"/>
        <v>8.7929685064360164E-2</v>
      </c>
      <c r="C44" s="42"/>
    </row>
    <row r="45" spans="1:6" x14ac:dyDescent="0.25">
      <c r="A45" s="53">
        <v>1.96417</v>
      </c>
      <c r="B45" s="42">
        <f t="shared" si="0"/>
        <v>0.1778809914883602</v>
      </c>
      <c r="C45" s="42"/>
    </row>
    <row r="46" spans="1:6" x14ac:dyDescent="0.25">
      <c r="A46" s="53">
        <v>1.98302</v>
      </c>
      <c r="B46" s="42">
        <f t="shared" si="0"/>
        <v>0.19413664336836023</v>
      </c>
      <c r="C46" s="42"/>
    </row>
    <row r="47" spans="1:6" x14ac:dyDescent="0.25">
      <c r="A47" s="54">
        <v>2.1029599999999999</v>
      </c>
      <c r="B47" s="42">
        <f t="shared" si="0"/>
        <v>0.31421562984036022</v>
      </c>
      <c r="C47" s="42"/>
    </row>
    <row r="48" spans="1:6" x14ac:dyDescent="0.25">
      <c r="A48" s="54">
        <v>2.1596799999999998</v>
      </c>
      <c r="B48" s="42">
        <f t="shared" si="0"/>
        <v>0.3810215121763601</v>
      </c>
      <c r="C48" s="42"/>
    </row>
    <row r="49" spans="1:3" x14ac:dyDescent="0.25">
      <c r="A49" s="54">
        <v>2.8480599999999998</v>
      </c>
      <c r="B49" s="42">
        <f t="shared" si="0"/>
        <v>1.7047203557203603</v>
      </c>
      <c r="C49" s="42"/>
    </row>
    <row r="50" spans="1:3" ht="16.5" thickBot="1" x14ac:dyDescent="0.3">
      <c r="A50" s="55">
        <v>2.9899100000000001</v>
      </c>
      <c r="B50" s="42">
        <f t="shared" si="0"/>
        <v>2.095254513000361</v>
      </c>
      <c r="C50" s="42"/>
    </row>
  </sheetData>
  <mergeCells count="4">
    <mergeCell ref="D10:D11"/>
    <mergeCell ref="D19:D20"/>
    <mergeCell ref="D27:D28"/>
    <mergeCell ref="H16:I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D21E-869F-40FE-A2B9-AF5E1BE2CAF4}">
  <sheetPr>
    <tabColor theme="9" tint="0.39997558519241921"/>
  </sheetPr>
  <dimension ref="A2:S51"/>
  <sheetViews>
    <sheetView zoomScale="70" zoomScaleNormal="70" workbookViewId="0">
      <selection activeCell="G24" sqref="G24"/>
    </sheetView>
  </sheetViews>
  <sheetFormatPr defaultColWidth="8.7109375" defaultRowHeight="15" x14ac:dyDescent="0.25"/>
  <cols>
    <col min="1" max="2" width="8.7109375" style="1"/>
    <col min="3" max="3" width="18" style="1" bestFit="1" customWidth="1"/>
    <col min="4" max="4" width="12.42578125" style="1" customWidth="1"/>
    <col min="5" max="5" width="12.140625" style="1" customWidth="1"/>
    <col min="6" max="6" width="19.85546875" style="1" customWidth="1"/>
    <col min="7" max="7" width="13.42578125" style="1" customWidth="1"/>
    <col min="8" max="8" width="14.85546875" style="1" customWidth="1"/>
    <col min="9" max="9" width="20.140625" style="1" customWidth="1"/>
    <col min="10" max="10" width="12.85546875" style="1" customWidth="1"/>
    <col min="11" max="11" width="14.28515625" style="1" bestFit="1" customWidth="1"/>
    <col min="12" max="12" width="16.140625" style="1" bestFit="1" customWidth="1"/>
    <col min="13" max="13" width="12.85546875" style="1" bestFit="1" customWidth="1"/>
    <col min="14" max="14" width="10" style="1" customWidth="1"/>
    <col min="15" max="15" width="10.140625" style="1" customWidth="1"/>
    <col min="16" max="16" width="22.42578125" style="1" customWidth="1"/>
    <col min="17" max="16384" width="8.7109375" style="1"/>
  </cols>
  <sheetData>
    <row r="2" spans="1:19" x14ac:dyDescent="0.25">
      <c r="A2" s="60">
        <v>-1.6568700000000001</v>
      </c>
      <c r="C2" s="56" t="s">
        <v>63</v>
      </c>
      <c r="D2" s="56">
        <f>COUNTA(A2:A51)</f>
        <v>50</v>
      </c>
      <c r="F2" s="56" t="s">
        <v>53</v>
      </c>
      <c r="G2" s="56">
        <f>AVERAGE(A2:A51)</f>
        <v>2.5221319600000003</v>
      </c>
      <c r="I2" s="56" t="s">
        <v>56</v>
      </c>
      <c r="J2" s="56">
        <f>D5-2-1</f>
        <v>3</v>
      </c>
    </row>
    <row r="3" spans="1:19" x14ac:dyDescent="0.25">
      <c r="A3" s="61">
        <v>-0.74036199999999996</v>
      </c>
      <c r="C3" s="57" t="s">
        <v>6</v>
      </c>
      <c r="D3" s="57">
        <f>MIN(A2:A51)</f>
        <v>-1.6568700000000001</v>
      </c>
      <c r="F3" s="57" t="s">
        <v>54</v>
      </c>
      <c r="G3" s="57">
        <f>_xlfn.VAR.S(A2:A51)</f>
        <v>3.7976036708135497</v>
      </c>
      <c r="I3" s="57" t="s">
        <v>57</v>
      </c>
      <c r="J3" s="57">
        <v>0.1</v>
      </c>
    </row>
    <row r="4" spans="1:19" x14ac:dyDescent="0.25">
      <c r="A4" s="61">
        <v>-0.73702800000000002</v>
      </c>
      <c r="C4" s="57" t="s">
        <v>7</v>
      </c>
      <c r="D4" s="57">
        <f>MAX(A2:A51)</f>
        <v>6.4695099999999996</v>
      </c>
      <c r="F4" s="58" t="s">
        <v>55</v>
      </c>
      <c r="G4" s="58">
        <f>_xlfn.STDEV.S(A2:A51)</f>
        <v>1.9487441265629384</v>
      </c>
      <c r="I4" s="57" t="s">
        <v>58</v>
      </c>
      <c r="J4" s="57">
        <f>_xlfn.CHISQ.INV.RT(J3,J2)</f>
        <v>6.2513886311703235</v>
      </c>
    </row>
    <row r="5" spans="1:19" x14ac:dyDescent="0.25">
      <c r="A5" s="61">
        <v>-0.60269700000000004</v>
      </c>
      <c r="C5" s="57" t="s">
        <v>8</v>
      </c>
      <c r="D5" s="57">
        <v>6</v>
      </c>
      <c r="I5" s="58" t="s">
        <v>59</v>
      </c>
      <c r="J5" s="58">
        <v>50</v>
      </c>
    </row>
    <row r="6" spans="1:19" x14ac:dyDescent="0.25">
      <c r="A6" s="61">
        <v>-0.43187900000000001</v>
      </c>
      <c r="C6" s="58" t="s">
        <v>9</v>
      </c>
      <c r="D6" s="59">
        <f>(D4-D3)/(D5)</f>
        <v>1.3543966666666665</v>
      </c>
    </row>
    <row r="7" spans="1:19" x14ac:dyDescent="0.25">
      <c r="A7" s="61">
        <v>-0.17352000000000001</v>
      </c>
    </row>
    <row r="8" spans="1:19" x14ac:dyDescent="0.25">
      <c r="A8" s="61">
        <v>-0.13830100000000001</v>
      </c>
    </row>
    <row r="9" spans="1:19" ht="14.1" customHeight="1" x14ac:dyDescent="0.25">
      <c r="A9" s="61">
        <v>-3.0000000000000001E-3</v>
      </c>
      <c r="C9" s="111" t="s">
        <v>10</v>
      </c>
      <c r="D9" s="111" t="s">
        <v>14</v>
      </c>
      <c r="E9" s="111" t="s">
        <v>15</v>
      </c>
      <c r="F9" s="111" t="s">
        <v>16</v>
      </c>
      <c r="G9" s="111" t="s">
        <v>62</v>
      </c>
      <c r="H9" s="111" t="s">
        <v>18</v>
      </c>
      <c r="I9" s="111" t="s">
        <v>22</v>
      </c>
      <c r="J9" s="112" t="s">
        <v>19</v>
      </c>
      <c r="L9" s="110" t="s">
        <v>60</v>
      </c>
      <c r="M9" s="110"/>
      <c r="N9" s="110" t="s">
        <v>61</v>
      </c>
      <c r="O9" s="110"/>
      <c r="P9" s="100" t="s">
        <v>64</v>
      </c>
      <c r="Q9" s="110"/>
      <c r="R9" s="110"/>
    </row>
    <row r="10" spans="1:19" x14ac:dyDescent="0.25">
      <c r="A10" s="61">
        <v>0.27818100000000001</v>
      </c>
      <c r="C10" s="111"/>
      <c r="D10" s="111"/>
      <c r="E10" s="111"/>
      <c r="F10" s="111"/>
      <c r="G10" s="111"/>
      <c r="H10" s="111"/>
      <c r="I10" s="111"/>
      <c r="J10" s="112"/>
      <c r="L10" s="110"/>
      <c r="M10" s="110"/>
      <c r="N10" s="110"/>
      <c r="O10" s="110"/>
      <c r="P10" s="101"/>
      <c r="Q10" s="110"/>
      <c r="R10" s="110"/>
    </row>
    <row r="11" spans="1:19" x14ac:dyDescent="0.25">
      <c r="A11" s="61">
        <v>0.42441400000000001</v>
      </c>
      <c r="C11" s="63">
        <v>1</v>
      </c>
      <c r="D11" s="64">
        <f>D3</f>
        <v>-1.6568700000000001</v>
      </c>
      <c r="E11" s="65">
        <f>D12</f>
        <v>-0.30247333333333359</v>
      </c>
      <c r="F11" s="66">
        <f t="shared" ref="F11:F16" si="0">(D11+E11)/2</f>
        <v>-0.97967166666666683</v>
      </c>
      <c r="G11" s="66" cm="1">
        <f t="array" ref="G11:G16">FREQUENCY(A2:A51,D12:D16)</f>
        <v>5</v>
      </c>
      <c r="H11" s="66">
        <f t="shared" ref="H11:H16" si="1">G11/$G$17</f>
        <v>0.1</v>
      </c>
      <c r="I11" s="66">
        <f t="shared" ref="I11:I16" si="2">H11/$D$6</f>
        <v>7.3833613490877872E-2</v>
      </c>
      <c r="J11" s="68">
        <f>H11</f>
        <v>0.1</v>
      </c>
      <c r="L11" s="67">
        <f>(D11-$G$2)/$G$4</f>
        <v>-2.1444590405876625</v>
      </c>
      <c r="M11" s="67">
        <f>(E11-$G$2)/$G$4</f>
        <v>-1.4494490348074476</v>
      </c>
      <c r="N11" s="67">
        <v>0</v>
      </c>
      <c r="O11" s="67">
        <f>_xlfn.NORM.S.DIST(M11, TRUE)</f>
        <v>7.3606111689107662E-2</v>
      </c>
      <c r="P11" s="67">
        <f>O11-N11</f>
        <v>7.3606111689107662E-2</v>
      </c>
      <c r="Q11" s="99">
        <f t="shared" ref="Q11:Q16" si="3">POWER(G11-$D$2*P11,2)/($D$2*P11)</f>
        <v>0.47321976679753674</v>
      </c>
      <c r="R11" s="99"/>
      <c r="S11" s="1">
        <f>P11*50</f>
        <v>3.6803055844553829</v>
      </c>
    </row>
    <row r="12" spans="1:19" x14ac:dyDescent="0.25">
      <c r="A12" s="61">
        <v>1.0916300000000001</v>
      </c>
      <c r="C12" s="63">
        <v>2</v>
      </c>
      <c r="D12" s="64">
        <f t="shared" ref="D12:E16" si="4">D11+$D$6</f>
        <v>-0.30247333333333359</v>
      </c>
      <c r="E12" s="65">
        <f t="shared" si="4"/>
        <v>1.0519233333333329</v>
      </c>
      <c r="F12" s="66">
        <f t="shared" si="0"/>
        <v>0.37472499999999964</v>
      </c>
      <c r="G12" s="66">
        <v>5</v>
      </c>
      <c r="H12" s="66">
        <f t="shared" si="1"/>
        <v>0.1</v>
      </c>
      <c r="I12" s="66">
        <f t="shared" si="2"/>
        <v>7.3833613490877872E-2</v>
      </c>
      <c r="J12" s="68">
        <f>J11+H12</f>
        <v>0.2</v>
      </c>
      <c r="L12" s="67">
        <f t="shared" ref="L12:M15" si="5">(D12-$G$2)/$G$4</f>
        <v>-1.4494490348074476</v>
      </c>
      <c r="M12" s="67">
        <f t="shared" si="5"/>
        <v>-0.75443902902723348</v>
      </c>
      <c r="N12" s="67">
        <f t="shared" ref="N12:O16" si="6">_xlfn.NORM.S.DIST(L12, TRUE)</f>
        <v>7.3606111689107662E-2</v>
      </c>
      <c r="O12" s="67">
        <f t="shared" si="6"/>
        <v>0.22529282170113021</v>
      </c>
      <c r="P12" s="67">
        <f>O12-N12</f>
        <v>0.15168671001202255</v>
      </c>
      <c r="Q12" s="99">
        <f t="shared" si="3"/>
        <v>0.88060318259100312</v>
      </c>
      <c r="R12" s="99"/>
      <c r="S12" s="1">
        <f t="shared" ref="S12:S16" si="7">P12*50</f>
        <v>7.5843355006011279</v>
      </c>
    </row>
    <row r="13" spans="1:19" x14ac:dyDescent="0.25">
      <c r="A13" s="61">
        <v>1.16337</v>
      </c>
      <c r="C13" s="63">
        <v>3</v>
      </c>
      <c r="D13" s="64">
        <f t="shared" si="4"/>
        <v>1.0519233333333329</v>
      </c>
      <c r="E13" s="65">
        <f t="shared" si="4"/>
        <v>2.4063199999999991</v>
      </c>
      <c r="F13" s="66">
        <f t="shared" si="0"/>
        <v>1.729121666666666</v>
      </c>
      <c r="G13" s="66">
        <v>12</v>
      </c>
      <c r="H13" s="66">
        <f t="shared" si="1"/>
        <v>0.24</v>
      </c>
      <c r="I13" s="66">
        <f t="shared" si="2"/>
        <v>0.17720067237810688</v>
      </c>
      <c r="J13" s="68">
        <f t="shared" ref="J13:J16" si="8">J12+H13</f>
        <v>0.44</v>
      </c>
      <c r="L13" s="67">
        <f>(D13-$G$2)/$G$4</f>
        <v>-0.75443902902723348</v>
      </c>
      <c r="M13" s="67">
        <f t="shared" si="5"/>
        <v>-5.9429023247019284E-2</v>
      </c>
      <c r="N13" s="67">
        <f t="shared" si="6"/>
        <v>0.22529282170113021</v>
      </c>
      <c r="O13" s="67">
        <f t="shared" si="6"/>
        <v>0.47630519834889551</v>
      </c>
      <c r="P13" s="67">
        <f>O13-N13</f>
        <v>0.25101237664776532</v>
      </c>
      <c r="Q13" s="99">
        <f t="shared" si="3"/>
        <v>2.4156665311054284E-2</v>
      </c>
      <c r="R13" s="99"/>
      <c r="S13" s="1">
        <f t="shared" si="7"/>
        <v>12.550618832388267</v>
      </c>
    </row>
    <row r="14" spans="1:19" x14ac:dyDescent="0.25">
      <c r="A14" s="61">
        <v>1.25841</v>
      </c>
      <c r="C14" s="63">
        <v>4</v>
      </c>
      <c r="D14" s="64">
        <f t="shared" si="4"/>
        <v>2.4063199999999991</v>
      </c>
      <c r="E14" s="65">
        <f t="shared" si="4"/>
        <v>3.7607166666666654</v>
      </c>
      <c r="F14" s="66">
        <f t="shared" si="0"/>
        <v>3.0835183333333323</v>
      </c>
      <c r="G14" s="66">
        <v>13</v>
      </c>
      <c r="H14" s="66">
        <f t="shared" si="1"/>
        <v>0.26</v>
      </c>
      <c r="I14" s="66">
        <f t="shared" si="2"/>
        <v>0.19196739507628247</v>
      </c>
      <c r="J14" s="68">
        <f t="shared" si="8"/>
        <v>0.7</v>
      </c>
      <c r="L14" s="67">
        <f t="shared" si="5"/>
        <v>-5.9429023247019284E-2</v>
      </c>
      <c r="M14" s="67">
        <f t="shared" si="5"/>
        <v>0.63558098253319495</v>
      </c>
      <c r="N14" s="67">
        <f t="shared" si="6"/>
        <v>0.47630519834889551</v>
      </c>
      <c r="O14" s="67">
        <f t="shared" si="6"/>
        <v>0.73747521598162113</v>
      </c>
      <c r="P14" s="67">
        <f t="shared" ref="P14:P15" si="9">O14-N14</f>
        <v>0.26117001763272563</v>
      </c>
      <c r="Q14" s="99">
        <f t="shared" si="3"/>
        <v>2.6207856347698231E-4</v>
      </c>
      <c r="R14" s="99"/>
      <c r="S14" s="1">
        <f t="shared" si="7"/>
        <v>13.058500881636281</v>
      </c>
    </row>
    <row r="15" spans="1:19" x14ac:dyDescent="0.25">
      <c r="A15" s="61">
        <v>1.49274</v>
      </c>
      <c r="C15" s="63">
        <v>5</v>
      </c>
      <c r="D15" s="64">
        <f t="shared" si="4"/>
        <v>3.7607166666666654</v>
      </c>
      <c r="E15" s="65">
        <f t="shared" si="4"/>
        <v>5.1151133333333316</v>
      </c>
      <c r="F15" s="66">
        <f t="shared" si="0"/>
        <v>4.4379149999999985</v>
      </c>
      <c r="G15" s="66">
        <v>10</v>
      </c>
      <c r="H15" s="66">
        <f t="shared" si="1"/>
        <v>0.2</v>
      </c>
      <c r="I15" s="66">
        <f t="shared" si="2"/>
        <v>0.14766722698175574</v>
      </c>
      <c r="J15" s="68">
        <f t="shared" si="8"/>
        <v>0.89999999999999991</v>
      </c>
      <c r="L15" s="67">
        <f t="shared" si="5"/>
        <v>0.63558098253319495</v>
      </c>
      <c r="M15" s="67">
        <f t="shared" si="5"/>
        <v>1.3305909883134091</v>
      </c>
      <c r="N15" s="67">
        <f t="shared" si="6"/>
        <v>0.73747521598162113</v>
      </c>
      <c r="O15" s="67">
        <f t="shared" si="6"/>
        <v>0.90833818533773036</v>
      </c>
      <c r="P15" s="67">
        <f t="shared" si="9"/>
        <v>0.17086296935610923</v>
      </c>
      <c r="Q15" s="99">
        <f t="shared" si="3"/>
        <v>0.2484349177420736</v>
      </c>
      <c r="R15" s="99"/>
      <c r="S15" s="1">
        <f t="shared" si="7"/>
        <v>8.5431484678054623</v>
      </c>
    </row>
    <row r="16" spans="1:19" x14ac:dyDescent="0.25">
      <c r="A16" s="61">
        <v>1.5833200000000001</v>
      </c>
      <c r="C16" s="63">
        <v>6</v>
      </c>
      <c r="D16" s="64">
        <f t="shared" si="4"/>
        <v>5.1151133333333316</v>
      </c>
      <c r="E16" s="65">
        <f t="shared" si="4"/>
        <v>6.4695099999999979</v>
      </c>
      <c r="F16" s="66">
        <f t="shared" si="0"/>
        <v>5.7923116666666647</v>
      </c>
      <c r="G16" s="66">
        <v>5</v>
      </c>
      <c r="H16" s="66">
        <f t="shared" si="1"/>
        <v>0.1</v>
      </c>
      <c r="I16" s="66">
        <f t="shared" si="2"/>
        <v>7.3833613490877872E-2</v>
      </c>
      <c r="J16" s="68">
        <f t="shared" si="8"/>
        <v>0.99999999999999989</v>
      </c>
      <c r="L16" s="67">
        <f>(D16-$G$2)/$G$4</f>
        <v>1.3305909883134091</v>
      </c>
      <c r="M16" s="67">
        <f>(E16-$G$2)/$G$4</f>
        <v>2.0256009940936233</v>
      </c>
      <c r="N16" s="67">
        <f t="shared" si="6"/>
        <v>0.90833818533773036</v>
      </c>
      <c r="O16" s="67">
        <v>1</v>
      </c>
      <c r="P16" s="67">
        <f>O16-N16</f>
        <v>9.1661814662269636E-2</v>
      </c>
      <c r="Q16" s="99">
        <f t="shared" si="3"/>
        <v>3.7924917252898441E-2</v>
      </c>
      <c r="R16" s="99"/>
      <c r="S16" s="1">
        <f t="shared" si="7"/>
        <v>4.5830907331134814</v>
      </c>
    </row>
    <row r="17" spans="1:18" x14ac:dyDescent="0.25">
      <c r="A17" s="61">
        <v>1.5901099999999999</v>
      </c>
      <c r="C17" s="69" t="s">
        <v>13</v>
      </c>
      <c r="D17" s="70"/>
      <c r="E17" s="71"/>
      <c r="F17" s="72"/>
      <c r="G17" s="72">
        <f>SUM(_xlfn.ANCHORARRAY(G11))</f>
        <v>50</v>
      </c>
      <c r="H17" s="72">
        <f>SUM(H11:H16)</f>
        <v>0.99999999999999989</v>
      </c>
      <c r="I17" s="72"/>
      <c r="J17" s="73"/>
    </row>
    <row r="18" spans="1:18" x14ac:dyDescent="0.25">
      <c r="A18" s="61">
        <v>1.63781</v>
      </c>
      <c r="P18" s="104"/>
      <c r="Q18" s="103">
        <f>SUM(Q11:Q16)</f>
        <v>1.6646015282580433</v>
      </c>
      <c r="R18" s="103"/>
    </row>
    <row r="19" spans="1:18" x14ac:dyDescent="0.25">
      <c r="A19" s="61">
        <v>1.72692</v>
      </c>
      <c r="P19" s="105"/>
      <c r="Q19" s="103"/>
      <c r="R19" s="103"/>
    </row>
    <row r="20" spans="1:18" x14ac:dyDescent="0.25">
      <c r="A20" s="61">
        <v>1.7513700000000001</v>
      </c>
      <c r="C20" s="102" t="s">
        <v>66</v>
      </c>
      <c r="D20" s="102"/>
      <c r="E20" s="102"/>
      <c r="P20" s="106"/>
      <c r="Q20" s="103"/>
      <c r="R20" s="103"/>
    </row>
    <row r="21" spans="1:18" x14ac:dyDescent="0.25">
      <c r="A21" s="61">
        <v>1.9047400000000001</v>
      </c>
      <c r="C21" s="102"/>
      <c r="D21" s="102"/>
      <c r="E21" s="102"/>
    </row>
    <row r="22" spans="1:18" ht="14.1" customHeight="1" x14ac:dyDescent="0.25">
      <c r="A22" s="61">
        <v>1.91276</v>
      </c>
      <c r="C22" s="102"/>
      <c r="D22" s="102"/>
      <c r="E22" s="102"/>
      <c r="P22" s="107" t="s">
        <v>65</v>
      </c>
      <c r="Q22" s="102" t="str">
        <f>IF(Q18&lt;$J$4, "да, гипотеза не противоречит результату", "нет, гипотеза отвергнута")</f>
        <v>да, гипотеза не противоречит результату</v>
      </c>
      <c r="R22" s="102"/>
    </row>
    <row r="23" spans="1:18" x14ac:dyDescent="0.25">
      <c r="A23" s="61">
        <v>2.3263500000000001</v>
      </c>
      <c r="P23" s="108"/>
      <c r="Q23" s="102"/>
      <c r="R23" s="102"/>
    </row>
    <row r="24" spans="1:18" x14ac:dyDescent="0.25">
      <c r="A24" s="61">
        <v>2.4750100000000002</v>
      </c>
      <c r="P24" s="109"/>
      <c r="Q24" s="102"/>
      <c r="R24" s="102"/>
    </row>
    <row r="25" spans="1:18" x14ac:dyDescent="0.25">
      <c r="A25" s="61">
        <v>2.7407699999999999</v>
      </c>
    </row>
    <row r="26" spans="1:18" x14ac:dyDescent="0.25">
      <c r="A26" s="61">
        <v>2.7423299999999999</v>
      </c>
    </row>
    <row r="27" spans="1:18" x14ac:dyDescent="0.25">
      <c r="A27" s="61">
        <v>2.7600500000000001</v>
      </c>
    </row>
    <row r="28" spans="1:18" x14ac:dyDescent="0.25">
      <c r="A28" s="61">
        <v>2.7949199999999998</v>
      </c>
    </row>
    <row r="29" spans="1:18" x14ac:dyDescent="0.25">
      <c r="A29" s="61">
        <v>2.8339300000000001</v>
      </c>
    </row>
    <row r="30" spans="1:18" x14ac:dyDescent="0.25">
      <c r="A30" s="61">
        <v>2.9357099999999998</v>
      </c>
    </row>
    <row r="31" spans="1:18" x14ac:dyDescent="0.25">
      <c r="A31" s="61">
        <v>3.0167700000000002</v>
      </c>
    </row>
    <row r="32" spans="1:18" x14ac:dyDescent="0.25">
      <c r="A32" s="61">
        <v>3.0217100000000001</v>
      </c>
    </row>
    <row r="33" spans="1:1" x14ac:dyDescent="0.25">
      <c r="A33" s="61">
        <v>3.1695199999999999</v>
      </c>
    </row>
    <row r="34" spans="1:1" x14ac:dyDescent="0.25">
      <c r="A34" s="61">
        <v>3.1700400000000002</v>
      </c>
    </row>
    <row r="35" spans="1:1" x14ac:dyDescent="0.25">
      <c r="A35" s="61">
        <v>3.7054800000000001</v>
      </c>
    </row>
    <row r="36" spans="1:1" x14ac:dyDescent="0.25">
      <c r="A36" s="61">
        <v>3.7261500000000001</v>
      </c>
    </row>
    <row r="37" spans="1:1" x14ac:dyDescent="0.25">
      <c r="A37" s="61">
        <v>3.8111799999999998</v>
      </c>
    </row>
    <row r="38" spans="1:1" x14ac:dyDescent="0.25">
      <c r="A38" s="61">
        <v>3.81745</v>
      </c>
    </row>
    <row r="39" spans="1:1" x14ac:dyDescent="0.25">
      <c r="A39" s="61">
        <v>3.9186800000000002</v>
      </c>
    </row>
    <row r="40" spans="1:1" x14ac:dyDescent="0.25">
      <c r="A40" s="61">
        <v>3.99708</v>
      </c>
    </row>
    <row r="41" spans="1:1" x14ac:dyDescent="0.25">
      <c r="A41" s="61">
        <v>4.2461700000000002</v>
      </c>
    </row>
    <row r="42" spans="1:1" x14ac:dyDescent="0.25">
      <c r="A42" s="61">
        <v>4.3758400000000002</v>
      </c>
    </row>
    <row r="43" spans="1:1" x14ac:dyDescent="0.25">
      <c r="A43" s="61">
        <v>4.6064499999999997</v>
      </c>
    </row>
    <row r="44" spans="1:1" x14ac:dyDescent="0.25">
      <c r="A44" s="61">
        <v>4.6470500000000001</v>
      </c>
    </row>
    <row r="45" spans="1:1" x14ac:dyDescent="0.25">
      <c r="A45" s="61">
        <v>5.0537799999999997</v>
      </c>
    </row>
    <row r="46" spans="1:1" x14ac:dyDescent="0.25">
      <c r="A46" s="61">
        <v>5.10623</v>
      </c>
    </row>
    <row r="47" spans="1:1" x14ac:dyDescent="0.25">
      <c r="A47" s="61">
        <v>5.1539200000000003</v>
      </c>
    </row>
    <row r="48" spans="1:1" x14ac:dyDescent="0.25">
      <c r="A48" s="61">
        <v>5.2593199999999998</v>
      </c>
    </row>
    <row r="49" spans="1:1" x14ac:dyDescent="0.25">
      <c r="A49" s="61">
        <v>5.4249200000000002</v>
      </c>
    </row>
    <row r="50" spans="1:1" x14ac:dyDescent="0.25">
      <c r="A50" s="61">
        <v>5.4681600000000001</v>
      </c>
    </row>
    <row r="51" spans="1:1" x14ac:dyDescent="0.25">
      <c r="A51" s="62">
        <v>6.4695099999999996</v>
      </c>
    </row>
  </sheetData>
  <mergeCells count="23">
    <mergeCell ref="I9:I10"/>
    <mergeCell ref="J9:J10"/>
    <mergeCell ref="D9:D10"/>
    <mergeCell ref="E9:E10"/>
    <mergeCell ref="F9:F10"/>
    <mergeCell ref="G9:G10"/>
    <mergeCell ref="H9:H10"/>
    <mergeCell ref="Q15:R15"/>
    <mergeCell ref="Q16:R16"/>
    <mergeCell ref="P9:P10"/>
    <mergeCell ref="C20:E22"/>
    <mergeCell ref="Q18:R20"/>
    <mergeCell ref="Q22:R24"/>
    <mergeCell ref="P18:P20"/>
    <mergeCell ref="P22:P24"/>
    <mergeCell ref="Q9:R10"/>
    <mergeCell ref="Q11:R11"/>
    <mergeCell ref="Q12:R12"/>
    <mergeCell ref="Q13:R13"/>
    <mergeCell ref="Q14:R14"/>
    <mergeCell ref="N9:O10"/>
    <mergeCell ref="L9:M10"/>
    <mergeCell ref="C9:C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5912-5643-4AFA-826C-8663BDB3FB36}">
  <sheetPr>
    <tabColor theme="8" tint="0.39997558519241921"/>
  </sheetPr>
  <dimension ref="A1:U52"/>
  <sheetViews>
    <sheetView zoomScale="86" zoomScaleNormal="190" workbookViewId="0">
      <selection activeCell="J14" sqref="J14"/>
    </sheetView>
  </sheetViews>
  <sheetFormatPr defaultColWidth="8.85546875" defaultRowHeight="15" x14ac:dyDescent="0.25"/>
  <cols>
    <col min="1" max="1" width="20.7109375" style="1" bestFit="1" customWidth="1"/>
    <col min="2" max="2" width="12" style="1" bestFit="1" customWidth="1"/>
    <col min="3" max="3" width="8.85546875" style="1" customWidth="1"/>
    <col min="4" max="4" width="15.140625" style="76" bestFit="1" customWidth="1"/>
    <col min="5" max="7" width="8.85546875" style="1" customWidth="1"/>
    <col min="8" max="8" width="12" style="1" bestFit="1" customWidth="1"/>
    <col min="9" max="9" width="8.85546875" style="1"/>
    <col min="10" max="10" width="11.85546875" style="1" bestFit="1" customWidth="1"/>
    <col min="11" max="11" width="12.140625" style="1" bestFit="1" customWidth="1"/>
    <col min="12" max="13" width="8.5703125" style="1" customWidth="1"/>
    <col min="14" max="14" width="11.85546875" style="1" bestFit="1" customWidth="1"/>
    <col min="15" max="15" width="8.5703125" style="1" customWidth="1"/>
    <col min="16" max="16" width="13.140625" style="1" bestFit="1" customWidth="1"/>
    <col min="17" max="16384" width="8.85546875" style="1"/>
  </cols>
  <sheetData>
    <row r="1" spans="1:21" ht="18.95" customHeight="1" x14ac:dyDescent="0.25">
      <c r="D1" s="111" t="s">
        <v>68</v>
      </c>
      <c r="E1" s="111" t="s">
        <v>67</v>
      </c>
      <c r="F1" s="120"/>
      <c r="G1" s="120"/>
      <c r="H1" s="120"/>
      <c r="I1" s="69"/>
      <c r="J1" s="120"/>
      <c r="K1" s="120"/>
      <c r="L1" s="69"/>
      <c r="M1" s="63"/>
      <c r="N1" s="63" t="s">
        <v>70</v>
      </c>
      <c r="P1" s="63" t="s">
        <v>73</v>
      </c>
      <c r="Q1" s="67">
        <v>0.1</v>
      </c>
    </row>
    <row r="2" spans="1:21" x14ac:dyDescent="0.25">
      <c r="A2" s="67" t="s">
        <v>63</v>
      </c>
      <c r="B2" s="67">
        <f>COUNTA(D3:D52)</f>
        <v>50</v>
      </c>
      <c r="D2" s="120"/>
      <c r="E2" s="111"/>
      <c r="F2" s="120"/>
      <c r="G2" s="120"/>
      <c r="H2" s="120"/>
      <c r="I2" s="69"/>
      <c r="J2" s="120"/>
      <c r="K2" s="120"/>
      <c r="L2" s="69"/>
      <c r="M2" s="63"/>
      <c r="N2" s="67">
        <f>MAX(J3:J52)</f>
        <v>6.466533727470225E-2</v>
      </c>
      <c r="P2" s="63" t="s">
        <v>74</v>
      </c>
      <c r="Q2" s="67">
        <f>1-Q1</f>
        <v>0.9</v>
      </c>
    </row>
    <row r="3" spans="1:21" x14ac:dyDescent="0.25">
      <c r="D3" s="66">
        <v>-1.6568700000000001</v>
      </c>
      <c r="E3" s="79">
        <v>1</v>
      </c>
      <c r="F3" s="67">
        <f>(E3-1)/$B$2</f>
        <v>0</v>
      </c>
      <c r="G3" s="67">
        <f>E3/$B$2</f>
        <v>0.02</v>
      </c>
      <c r="H3" s="67">
        <f>_xlfn.NORM.DIST(D3,$B$5,$B$7,TRUE)</f>
        <v>1.5998061978995105E-2</v>
      </c>
      <c r="J3" s="67">
        <f>ABS(G3-H3)</f>
        <v>4.0019380210048958E-3</v>
      </c>
      <c r="K3" s="67">
        <f>ABS(H3-F3)</f>
        <v>1.5998061978995105E-2</v>
      </c>
      <c r="M3" s="67"/>
      <c r="N3" s="67">
        <f>MAX(K3:K52)</f>
        <v>8.4665337274702213E-2</v>
      </c>
      <c r="P3" s="63" t="s">
        <v>69</v>
      </c>
      <c r="Q3" s="67">
        <v>1.22</v>
      </c>
    </row>
    <row r="4" spans="1:21" x14ac:dyDescent="0.25">
      <c r="D4" s="66">
        <v>-0.74036199999999996</v>
      </c>
      <c r="E4" s="79">
        <v>2</v>
      </c>
      <c r="F4" s="67">
        <f t="shared" ref="F4:F52" si="0">(E4-1)/$B$2</f>
        <v>0.02</v>
      </c>
      <c r="G4" s="67">
        <f t="shared" ref="G4:G52" si="1">E4/$B$2</f>
        <v>0.04</v>
      </c>
      <c r="H4" s="67">
        <f t="shared" ref="H4:H52" si="2">_xlfn.NORM.DIST(D4,$B$5,$B$7,TRUE)</f>
        <v>4.7050360949035232E-2</v>
      </c>
      <c r="J4" s="67">
        <f t="shared" ref="J4:J52" si="3">ABS(G4-H4)</f>
        <v>7.0503609490352309E-3</v>
      </c>
      <c r="K4" s="67">
        <f t="shared" ref="K4:K52" si="4">ABS(H4-F4)</f>
        <v>2.7050360949035231E-2</v>
      </c>
    </row>
    <row r="5" spans="1:21" x14ac:dyDescent="0.25">
      <c r="A5" s="56" t="s">
        <v>53</v>
      </c>
      <c r="B5" s="56">
        <f>AVERAGE(D3:D52)</f>
        <v>2.5221319600000003</v>
      </c>
      <c r="D5" s="66">
        <v>-0.73702800000000002</v>
      </c>
      <c r="E5" s="79">
        <v>3</v>
      </c>
      <c r="F5" s="67">
        <f t="shared" si="0"/>
        <v>0.04</v>
      </c>
      <c r="G5" s="67">
        <f t="shared" si="1"/>
        <v>0.06</v>
      </c>
      <c r="H5" s="67">
        <f t="shared" si="2"/>
        <v>4.7218677061490175E-2</v>
      </c>
      <c r="J5" s="67">
        <f t="shared" si="3"/>
        <v>1.2781322938509823E-2</v>
      </c>
      <c r="K5" s="67">
        <f t="shared" si="4"/>
        <v>7.2186770614901738E-3</v>
      </c>
      <c r="P5" s="100" t="s">
        <v>72</v>
      </c>
      <c r="Q5" s="103">
        <f>MAX(N2:N3)</f>
        <v>8.4665337274702213E-2</v>
      </c>
    </row>
    <row r="6" spans="1:21" x14ac:dyDescent="0.25">
      <c r="A6" s="57" t="s">
        <v>54</v>
      </c>
      <c r="B6" s="57">
        <f>_xlfn.VAR.S(D3:D52)</f>
        <v>3.7976036708135497</v>
      </c>
      <c r="D6" s="66">
        <v>-0.60269700000000004</v>
      </c>
      <c r="E6" s="79">
        <v>4</v>
      </c>
      <c r="F6" s="67">
        <f t="shared" si="0"/>
        <v>0.06</v>
      </c>
      <c r="G6" s="67">
        <f t="shared" si="1"/>
        <v>0.08</v>
      </c>
      <c r="H6" s="67">
        <f t="shared" si="2"/>
        <v>5.44111497331475E-2</v>
      </c>
      <c r="J6" s="67">
        <f t="shared" si="3"/>
        <v>2.5588850266852502E-2</v>
      </c>
      <c r="K6" s="67">
        <f t="shared" si="4"/>
        <v>5.5888502668524978E-3</v>
      </c>
      <c r="P6" s="101"/>
      <c r="Q6" s="103"/>
    </row>
    <row r="7" spans="1:21" x14ac:dyDescent="0.25">
      <c r="A7" s="58" t="s">
        <v>55</v>
      </c>
      <c r="B7" s="58">
        <f>_xlfn.STDEV.S(D3:D52)</f>
        <v>1.9487441265629384</v>
      </c>
      <c r="D7" s="66">
        <v>-0.43187900000000001</v>
      </c>
      <c r="E7" s="79">
        <v>5</v>
      </c>
      <c r="F7" s="67">
        <f t="shared" si="0"/>
        <v>0.08</v>
      </c>
      <c r="G7" s="67">
        <f t="shared" si="1"/>
        <v>0.1</v>
      </c>
      <c r="H7" s="67">
        <f t="shared" si="2"/>
        <v>6.4778177208029267E-2</v>
      </c>
      <c r="J7" s="67">
        <f t="shared" si="3"/>
        <v>3.5221822791970739E-2</v>
      </c>
      <c r="K7" s="67">
        <f t="shared" si="4"/>
        <v>1.5221822791970735E-2</v>
      </c>
    </row>
    <row r="8" spans="1:21" x14ac:dyDescent="0.25">
      <c r="A8" s="69"/>
      <c r="B8" s="70"/>
      <c r="D8" s="66">
        <v>-0.17352000000000001</v>
      </c>
      <c r="E8" s="79">
        <v>6</v>
      </c>
      <c r="F8" s="67">
        <f t="shared" si="0"/>
        <v>0.1</v>
      </c>
      <c r="G8" s="67">
        <f t="shared" si="1"/>
        <v>0.12</v>
      </c>
      <c r="H8" s="67">
        <f t="shared" si="2"/>
        <v>8.3290049992261417E-2</v>
      </c>
      <c r="J8" s="67">
        <f t="shared" si="3"/>
        <v>3.6709950007738579E-2</v>
      </c>
      <c r="K8" s="67">
        <f t="shared" si="4"/>
        <v>1.6709950007738589E-2</v>
      </c>
      <c r="P8" s="119"/>
      <c r="Q8" s="120" t="s">
        <v>71</v>
      </c>
    </row>
    <row r="9" spans="1:21" ht="14.1" customHeight="1" x14ac:dyDescent="0.25">
      <c r="A9" s="69"/>
      <c r="B9" s="70"/>
      <c r="C9" s="74"/>
      <c r="D9" s="66">
        <v>-0.13830100000000001</v>
      </c>
      <c r="E9" s="79">
        <v>7</v>
      </c>
      <c r="F9" s="67">
        <f t="shared" si="0"/>
        <v>0.12</v>
      </c>
      <c r="G9" s="67">
        <f t="shared" si="1"/>
        <v>0.14000000000000001</v>
      </c>
      <c r="H9" s="67">
        <f t="shared" si="2"/>
        <v>8.6094496282292668E-2</v>
      </c>
      <c r="J9" s="67">
        <f t="shared" si="3"/>
        <v>5.3905503717707345E-2</v>
      </c>
      <c r="K9" s="67">
        <f t="shared" si="4"/>
        <v>3.3905503717707328E-2</v>
      </c>
      <c r="O9" s="78"/>
      <c r="P9" s="119"/>
      <c r="Q9" s="120"/>
      <c r="R9" s="78"/>
      <c r="S9" s="78"/>
      <c r="T9" s="78"/>
      <c r="U9" s="78"/>
    </row>
    <row r="10" spans="1:21" x14ac:dyDescent="0.25">
      <c r="A10" s="67" t="s">
        <v>57</v>
      </c>
      <c r="B10" s="67">
        <v>0.1</v>
      </c>
      <c r="C10" s="74"/>
      <c r="D10" s="66">
        <v>-3.0000000000000001E-3</v>
      </c>
      <c r="E10" s="79">
        <v>8</v>
      </c>
      <c r="F10" s="67">
        <f t="shared" si="0"/>
        <v>0.14000000000000001</v>
      </c>
      <c r="G10" s="67">
        <f t="shared" si="1"/>
        <v>0.16</v>
      </c>
      <c r="H10" s="67">
        <f t="shared" si="2"/>
        <v>9.7526680102202085E-2</v>
      </c>
      <c r="J10" s="67">
        <f t="shared" si="3"/>
        <v>6.2473319897797919E-2</v>
      </c>
      <c r="K10" s="67">
        <f t="shared" si="4"/>
        <v>4.2473319897797929E-2</v>
      </c>
      <c r="O10" s="78"/>
      <c r="P10" s="67">
        <f>SQRT(B2)*Q5</f>
        <v>0.59867434118388108</v>
      </c>
      <c r="Q10" s="67">
        <f>Q3</f>
        <v>1.22</v>
      </c>
      <c r="R10" s="78"/>
      <c r="S10" s="78"/>
      <c r="T10" s="78"/>
      <c r="U10" s="78"/>
    </row>
    <row r="11" spans="1:21" x14ac:dyDescent="0.25">
      <c r="C11" s="71"/>
      <c r="D11" s="66">
        <v>0.27818100000000001</v>
      </c>
      <c r="E11" s="79">
        <v>9</v>
      </c>
      <c r="F11" s="67">
        <f t="shared" si="0"/>
        <v>0.16</v>
      </c>
      <c r="G11" s="67">
        <f t="shared" si="1"/>
        <v>0.18</v>
      </c>
      <c r="H11" s="67">
        <f t="shared" si="2"/>
        <v>0.12476624112096941</v>
      </c>
      <c r="J11" s="67">
        <f t="shared" si="3"/>
        <v>5.5233758879030578E-2</v>
      </c>
      <c r="K11" s="67">
        <f t="shared" si="4"/>
        <v>3.5233758879030588E-2</v>
      </c>
    </row>
    <row r="12" spans="1:21" ht="14.1" customHeight="1" x14ac:dyDescent="0.25">
      <c r="C12" s="71"/>
      <c r="D12" s="66">
        <v>0.42441400000000001</v>
      </c>
      <c r="E12" s="79">
        <v>10</v>
      </c>
      <c r="F12" s="67">
        <f t="shared" si="0"/>
        <v>0.18</v>
      </c>
      <c r="G12" s="67">
        <f t="shared" si="1"/>
        <v>0.2</v>
      </c>
      <c r="H12" s="67">
        <f t="shared" si="2"/>
        <v>0.14086390349915517</v>
      </c>
      <c r="J12" s="67">
        <f t="shared" si="3"/>
        <v>5.9136096500844837E-2</v>
      </c>
      <c r="K12" s="67">
        <f t="shared" si="4"/>
        <v>3.9136096500844819E-2</v>
      </c>
      <c r="P12" s="119"/>
      <c r="Q12" s="121" t="str">
        <f>IF(P10&lt;Q10, "да; гипотеза не противоречит опытным данным, ее следует принять.", "нет; гипотеза противоречит опытным данным, ее следует отвергнуть.")</f>
        <v>да; гипотеза не противоречит опытным данным, ее следует принять.</v>
      </c>
      <c r="R12" s="121"/>
      <c r="S12" s="121"/>
      <c r="T12" s="121"/>
    </row>
    <row r="13" spans="1:21" x14ac:dyDescent="0.25">
      <c r="A13" s="113" t="s">
        <v>66</v>
      </c>
      <c r="B13" s="114"/>
      <c r="C13" s="71"/>
      <c r="D13" s="66">
        <v>1.0916300000000001</v>
      </c>
      <c r="E13" s="79">
        <v>11</v>
      </c>
      <c r="F13" s="67">
        <f t="shared" si="0"/>
        <v>0.2</v>
      </c>
      <c r="G13" s="67">
        <f t="shared" si="1"/>
        <v>0.22</v>
      </c>
      <c r="H13" s="67">
        <f t="shared" si="2"/>
        <v>0.23145501485153405</v>
      </c>
      <c r="J13" s="67">
        <f t="shared" si="3"/>
        <v>1.1455014851534051E-2</v>
      </c>
      <c r="K13" s="67">
        <f t="shared" si="4"/>
        <v>3.1455014851534041E-2</v>
      </c>
      <c r="P13" s="119"/>
      <c r="Q13" s="121"/>
      <c r="R13" s="121"/>
      <c r="S13" s="121"/>
      <c r="T13" s="121"/>
    </row>
    <row r="14" spans="1:21" x14ac:dyDescent="0.25">
      <c r="A14" s="115"/>
      <c r="B14" s="116"/>
      <c r="C14" s="71"/>
      <c r="D14" s="66">
        <v>1.16337</v>
      </c>
      <c r="E14" s="79">
        <v>12</v>
      </c>
      <c r="F14" s="67">
        <f t="shared" si="0"/>
        <v>0.22</v>
      </c>
      <c r="G14" s="67">
        <f t="shared" si="1"/>
        <v>0.24</v>
      </c>
      <c r="H14" s="67">
        <f t="shared" si="2"/>
        <v>0.24282315757926337</v>
      </c>
      <c r="J14" s="67">
        <f t="shared" si="3"/>
        <v>2.8231575792633801E-3</v>
      </c>
      <c r="K14" s="67">
        <f t="shared" si="4"/>
        <v>2.282315757926337E-2</v>
      </c>
    </row>
    <row r="15" spans="1:21" x14ac:dyDescent="0.25">
      <c r="A15" s="115"/>
      <c r="B15" s="116"/>
      <c r="C15" s="71"/>
      <c r="D15" s="66">
        <v>1.25841</v>
      </c>
      <c r="E15" s="79">
        <v>13</v>
      </c>
      <c r="F15" s="67">
        <f t="shared" si="0"/>
        <v>0.24</v>
      </c>
      <c r="G15" s="67">
        <f t="shared" si="1"/>
        <v>0.26</v>
      </c>
      <c r="H15" s="67">
        <f t="shared" si="2"/>
        <v>0.25833721001279153</v>
      </c>
      <c r="J15" s="67">
        <f t="shared" si="3"/>
        <v>1.6627899872084795E-3</v>
      </c>
      <c r="K15" s="67">
        <f t="shared" si="4"/>
        <v>1.8337210012791538E-2</v>
      </c>
    </row>
    <row r="16" spans="1:21" x14ac:dyDescent="0.25">
      <c r="A16" s="117"/>
      <c r="B16" s="118"/>
      <c r="C16" s="71"/>
      <c r="D16" s="66">
        <v>1.49274</v>
      </c>
      <c r="E16" s="79">
        <v>14</v>
      </c>
      <c r="F16" s="67">
        <f t="shared" si="0"/>
        <v>0.26</v>
      </c>
      <c r="G16" s="67">
        <f t="shared" si="1"/>
        <v>0.28000000000000003</v>
      </c>
      <c r="H16" s="67">
        <f t="shared" si="2"/>
        <v>0.29866863512951358</v>
      </c>
      <c r="J16" s="67">
        <f t="shared" si="3"/>
        <v>1.8668635129513556E-2</v>
      </c>
      <c r="K16" s="67">
        <f t="shared" si="4"/>
        <v>3.8668635129513573E-2</v>
      </c>
    </row>
    <row r="17" spans="3:21" x14ac:dyDescent="0.25">
      <c r="C17" s="71"/>
      <c r="D17" s="66">
        <v>1.5833200000000001</v>
      </c>
      <c r="E17" s="79">
        <v>15</v>
      </c>
      <c r="F17" s="67">
        <f t="shared" si="0"/>
        <v>0.28000000000000003</v>
      </c>
      <c r="G17" s="67">
        <f t="shared" si="1"/>
        <v>0.3</v>
      </c>
      <c r="H17" s="67">
        <f t="shared" si="2"/>
        <v>0.31499096004205773</v>
      </c>
      <c r="J17" s="67">
        <f t="shared" si="3"/>
        <v>1.4990960042057744E-2</v>
      </c>
      <c r="K17" s="67">
        <f t="shared" si="4"/>
        <v>3.4990960042057706E-2</v>
      </c>
    </row>
    <row r="18" spans="3:21" x14ac:dyDescent="0.25">
      <c r="D18" s="66">
        <v>1.5901099999999999</v>
      </c>
      <c r="E18" s="79">
        <v>16</v>
      </c>
      <c r="F18" s="67">
        <f t="shared" si="0"/>
        <v>0.3</v>
      </c>
      <c r="G18" s="67">
        <f t="shared" si="1"/>
        <v>0.32</v>
      </c>
      <c r="H18" s="67">
        <f t="shared" si="2"/>
        <v>0.31622973384244901</v>
      </c>
      <c r="J18" s="67">
        <f t="shared" si="3"/>
        <v>3.7702661575509944E-3</v>
      </c>
      <c r="K18" s="67">
        <f t="shared" si="4"/>
        <v>1.6229733842449023E-2</v>
      </c>
      <c r="T18" s="77"/>
      <c r="U18" s="77"/>
    </row>
    <row r="19" spans="3:21" x14ac:dyDescent="0.25">
      <c r="D19" s="66">
        <v>1.63781</v>
      </c>
      <c r="E19" s="79">
        <v>17</v>
      </c>
      <c r="F19" s="67">
        <f t="shared" si="0"/>
        <v>0.32</v>
      </c>
      <c r="G19" s="67">
        <f t="shared" si="1"/>
        <v>0.34</v>
      </c>
      <c r="H19" s="67">
        <f t="shared" si="2"/>
        <v>0.32498973920593305</v>
      </c>
      <c r="J19" s="67">
        <f t="shared" si="3"/>
        <v>1.5010260794066976E-2</v>
      </c>
      <c r="K19" s="67">
        <f t="shared" si="4"/>
        <v>4.9897392059330414E-3</v>
      </c>
      <c r="T19" s="77"/>
      <c r="U19" s="77"/>
    </row>
    <row r="20" spans="3:21" ht="14.45" customHeight="1" x14ac:dyDescent="0.25">
      <c r="C20" s="75"/>
      <c r="D20" s="66">
        <v>1.72692</v>
      </c>
      <c r="E20" s="79">
        <v>18</v>
      </c>
      <c r="F20" s="67">
        <f t="shared" si="0"/>
        <v>0.34</v>
      </c>
      <c r="G20" s="67">
        <f t="shared" si="1"/>
        <v>0.36</v>
      </c>
      <c r="H20" s="67">
        <f t="shared" si="2"/>
        <v>0.34161341294703396</v>
      </c>
      <c r="J20" s="67">
        <f t="shared" si="3"/>
        <v>1.838658705296603E-2</v>
      </c>
      <c r="K20" s="67">
        <f t="shared" si="4"/>
        <v>1.613412947033932E-3</v>
      </c>
      <c r="T20" s="77"/>
      <c r="U20" s="77"/>
    </row>
    <row r="21" spans="3:21" x14ac:dyDescent="0.25">
      <c r="C21" s="75"/>
      <c r="D21" s="66">
        <v>1.7513700000000001</v>
      </c>
      <c r="E21" s="79">
        <v>19</v>
      </c>
      <c r="F21" s="67">
        <f t="shared" si="0"/>
        <v>0.36</v>
      </c>
      <c r="G21" s="67">
        <f t="shared" si="1"/>
        <v>0.38</v>
      </c>
      <c r="H21" s="67">
        <f t="shared" si="2"/>
        <v>0.34623058881917823</v>
      </c>
      <c r="J21" s="67">
        <f t="shared" si="3"/>
        <v>3.3769411180821773E-2</v>
      </c>
      <c r="K21" s="67">
        <f t="shared" si="4"/>
        <v>1.3769411180821756E-2</v>
      </c>
    </row>
    <row r="22" spans="3:21" ht="14.1" customHeight="1" x14ac:dyDescent="0.25">
      <c r="C22" s="75"/>
      <c r="D22" s="66">
        <v>1.9047400000000001</v>
      </c>
      <c r="E22" s="79">
        <v>20</v>
      </c>
      <c r="F22" s="67">
        <f t="shared" si="0"/>
        <v>0.38</v>
      </c>
      <c r="G22" s="67">
        <f t="shared" si="1"/>
        <v>0.4</v>
      </c>
      <c r="H22" s="67">
        <f t="shared" si="2"/>
        <v>0.37569187608190246</v>
      </c>
      <c r="J22" s="67">
        <f t="shared" si="3"/>
        <v>2.4308123918097557E-2</v>
      </c>
      <c r="K22" s="67">
        <f t="shared" si="4"/>
        <v>4.3081239180975395E-3</v>
      </c>
      <c r="S22" s="75"/>
      <c r="T22" s="75"/>
      <c r="U22" s="75"/>
    </row>
    <row r="23" spans="3:21" x14ac:dyDescent="0.25">
      <c r="D23" s="66">
        <v>1.91276</v>
      </c>
      <c r="E23" s="79">
        <v>21</v>
      </c>
      <c r="F23" s="67">
        <f t="shared" si="0"/>
        <v>0.4</v>
      </c>
      <c r="G23" s="67">
        <f t="shared" si="1"/>
        <v>0.42</v>
      </c>
      <c r="H23" s="67">
        <f t="shared" si="2"/>
        <v>0.37725436180043725</v>
      </c>
      <c r="J23" s="67">
        <f t="shared" si="3"/>
        <v>4.274563819956273E-2</v>
      </c>
      <c r="K23" s="67">
        <f t="shared" si="4"/>
        <v>2.2745638199562768E-2</v>
      </c>
      <c r="S23" s="75"/>
      <c r="T23" s="75"/>
      <c r="U23" s="75"/>
    </row>
    <row r="24" spans="3:21" x14ac:dyDescent="0.25">
      <c r="D24" s="66">
        <v>2.3263500000000001</v>
      </c>
      <c r="E24" s="79">
        <v>22</v>
      </c>
      <c r="F24" s="67">
        <f t="shared" si="0"/>
        <v>0.42</v>
      </c>
      <c r="G24" s="67">
        <f t="shared" si="1"/>
        <v>0.44</v>
      </c>
      <c r="H24" s="67">
        <f t="shared" si="2"/>
        <v>0.45998730272848393</v>
      </c>
      <c r="J24" s="67">
        <f t="shared" si="3"/>
        <v>1.9987302728483924E-2</v>
      </c>
      <c r="K24" s="67">
        <f t="shared" si="4"/>
        <v>3.9987302728483942E-2</v>
      </c>
      <c r="S24" s="75"/>
      <c r="T24" s="75"/>
      <c r="U24" s="75"/>
    </row>
    <row r="25" spans="3:21" x14ac:dyDescent="0.25">
      <c r="D25" s="66">
        <v>2.4750100000000002</v>
      </c>
      <c r="E25" s="79">
        <v>23</v>
      </c>
      <c r="F25" s="67">
        <f t="shared" si="0"/>
        <v>0.44</v>
      </c>
      <c r="G25" s="67">
        <f t="shared" si="1"/>
        <v>0.46</v>
      </c>
      <c r="H25" s="67">
        <f t="shared" si="2"/>
        <v>0.49035424399221611</v>
      </c>
      <c r="J25" s="67">
        <f t="shared" si="3"/>
        <v>3.035424399221609E-2</v>
      </c>
      <c r="K25" s="67">
        <f t="shared" si="4"/>
        <v>5.0354243992216108E-2</v>
      </c>
    </row>
    <row r="26" spans="3:21" x14ac:dyDescent="0.25">
      <c r="D26" s="66">
        <v>2.7407699999999999</v>
      </c>
      <c r="E26" s="79">
        <v>24</v>
      </c>
      <c r="F26" s="67">
        <f t="shared" si="0"/>
        <v>0.46</v>
      </c>
      <c r="G26" s="67">
        <f t="shared" si="1"/>
        <v>0.48</v>
      </c>
      <c r="H26" s="67">
        <f t="shared" si="2"/>
        <v>0.54466533727470223</v>
      </c>
      <c r="J26" s="67">
        <f t="shared" si="3"/>
        <v>6.466533727470225E-2</v>
      </c>
      <c r="K26" s="67">
        <f t="shared" si="4"/>
        <v>8.4665337274702213E-2</v>
      </c>
    </row>
    <row r="27" spans="3:21" x14ac:dyDescent="0.25">
      <c r="D27" s="66">
        <v>2.7423299999999999</v>
      </c>
      <c r="E27" s="79">
        <v>25</v>
      </c>
      <c r="F27" s="67">
        <f t="shared" si="0"/>
        <v>0.48</v>
      </c>
      <c r="G27" s="67">
        <f t="shared" si="1"/>
        <v>0.5</v>
      </c>
      <c r="H27" s="67">
        <f t="shared" si="2"/>
        <v>0.54498267882600071</v>
      </c>
      <c r="J27" s="67">
        <f t="shared" si="3"/>
        <v>4.498267882600071E-2</v>
      </c>
      <c r="K27" s="67">
        <f t="shared" si="4"/>
        <v>6.4982678826000728E-2</v>
      </c>
    </row>
    <row r="28" spans="3:21" x14ac:dyDescent="0.25">
      <c r="D28" s="66">
        <v>2.7600500000000001</v>
      </c>
      <c r="E28" s="79">
        <v>26</v>
      </c>
      <c r="F28" s="67">
        <f t="shared" si="0"/>
        <v>0.5</v>
      </c>
      <c r="G28" s="67">
        <f t="shared" si="1"/>
        <v>0.52</v>
      </c>
      <c r="H28" s="67">
        <f t="shared" si="2"/>
        <v>0.54858528997258671</v>
      </c>
      <c r="J28" s="67">
        <f t="shared" si="3"/>
        <v>2.8585289972586692E-2</v>
      </c>
      <c r="K28" s="67">
        <f t="shared" si="4"/>
        <v>4.8585289972586709E-2</v>
      </c>
    </row>
    <row r="29" spans="3:21" x14ac:dyDescent="0.25">
      <c r="D29" s="66">
        <v>2.7949199999999998</v>
      </c>
      <c r="E29" s="79">
        <v>27</v>
      </c>
      <c r="F29" s="67">
        <f t="shared" si="0"/>
        <v>0.52</v>
      </c>
      <c r="G29" s="67">
        <f t="shared" si="1"/>
        <v>0.54</v>
      </c>
      <c r="H29" s="67">
        <f t="shared" si="2"/>
        <v>0.55566267891480414</v>
      </c>
      <c r="J29" s="67">
        <f t="shared" si="3"/>
        <v>1.5662678914804107E-2</v>
      </c>
      <c r="K29" s="67">
        <f t="shared" si="4"/>
        <v>3.5662678914804125E-2</v>
      </c>
    </row>
    <row r="30" spans="3:21" x14ac:dyDescent="0.25">
      <c r="D30" s="66">
        <v>2.8339300000000001</v>
      </c>
      <c r="E30" s="79">
        <v>28</v>
      </c>
      <c r="F30" s="67">
        <f t="shared" si="0"/>
        <v>0.54</v>
      </c>
      <c r="G30" s="67">
        <f t="shared" si="1"/>
        <v>0.56000000000000005</v>
      </c>
      <c r="H30" s="67">
        <f t="shared" si="2"/>
        <v>0.56355925668465845</v>
      </c>
      <c r="J30" s="67">
        <f t="shared" si="3"/>
        <v>3.5592566846583962E-3</v>
      </c>
      <c r="K30" s="67">
        <f t="shared" si="4"/>
        <v>2.3559256684658414E-2</v>
      </c>
    </row>
    <row r="31" spans="3:21" x14ac:dyDescent="0.25">
      <c r="D31" s="66">
        <v>2.9357099999999998</v>
      </c>
      <c r="E31" s="79">
        <v>29</v>
      </c>
      <c r="F31" s="67">
        <f t="shared" si="0"/>
        <v>0.56000000000000005</v>
      </c>
      <c r="G31" s="67">
        <f t="shared" si="1"/>
        <v>0.57999999999999996</v>
      </c>
      <c r="H31" s="67">
        <f t="shared" si="2"/>
        <v>0.58403541259412861</v>
      </c>
      <c r="J31" s="67">
        <f t="shared" si="3"/>
        <v>4.0354125941286512E-3</v>
      </c>
      <c r="K31" s="67">
        <f t="shared" si="4"/>
        <v>2.4035412594128558E-2</v>
      </c>
    </row>
    <row r="32" spans="3:21" x14ac:dyDescent="0.25">
      <c r="D32" s="66">
        <v>3.0167700000000002</v>
      </c>
      <c r="E32" s="79">
        <v>30</v>
      </c>
      <c r="F32" s="67">
        <f t="shared" si="0"/>
        <v>0.57999999999999996</v>
      </c>
      <c r="G32" s="67">
        <f t="shared" si="1"/>
        <v>0.6</v>
      </c>
      <c r="H32" s="67">
        <f t="shared" si="2"/>
        <v>0.60018423655057007</v>
      </c>
      <c r="J32" s="67">
        <f t="shared" si="3"/>
        <v>1.842365505700938E-4</v>
      </c>
      <c r="K32" s="67">
        <f t="shared" si="4"/>
        <v>2.0184236550570112E-2</v>
      </c>
    </row>
    <row r="33" spans="4:11" x14ac:dyDescent="0.25">
      <c r="D33" s="66">
        <v>3.0217100000000001</v>
      </c>
      <c r="E33" s="79">
        <v>31</v>
      </c>
      <c r="F33" s="67">
        <f t="shared" si="0"/>
        <v>0.6</v>
      </c>
      <c r="G33" s="67">
        <f t="shared" si="1"/>
        <v>0.62</v>
      </c>
      <c r="H33" s="67">
        <f t="shared" si="2"/>
        <v>0.60116316726226504</v>
      </c>
      <c r="J33" s="67">
        <f t="shared" si="3"/>
        <v>1.8836832737734954E-2</v>
      </c>
      <c r="K33" s="67">
        <f t="shared" si="4"/>
        <v>1.1631672622650635E-3</v>
      </c>
    </row>
    <row r="34" spans="4:11" x14ac:dyDescent="0.25">
      <c r="D34" s="66">
        <v>3.1695199999999999</v>
      </c>
      <c r="E34" s="79">
        <v>32</v>
      </c>
      <c r="F34" s="67">
        <f t="shared" si="0"/>
        <v>0.62</v>
      </c>
      <c r="G34" s="67">
        <f t="shared" si="1"/>
        <v>0.64</v>
      </c>
      <c r="H34" s="67">
        <f t="shared" si="2"/>
        <v>0.6301338307494363</v>
      </c>
      <c r="J34" s="67">
        <f t="shared" si="3"/>
        <v>9.8661692505637166E-3</v>
      </c>
      <c r="K34" s="67">
        <f t="shared" si="4"/>
        <v>1.0133830749436301E-2</v>
      </c>
    </row>
    <row r="35" spans="4:11" x14ac:dyDescent="0.25">
      <c r="D35" s="66">
        <v>3.1700400000000002</v>
      </c>
      <c r="E35" s="79">
        <v>33</v>
      </c>
      <c r="F35" s="67">
        <f t="shared" si="0"/>
        <v>0.64</v>
      </c>
      <c r="G35" s="67">
        <f t="shared" si="1"/>
        <v>0.66</v>
      </c>
      <c r="H35" s="67">
        <f t="shared" si="2"/>
        <v>0.63023456438871073</v>
      </c>
      <c r="J35" s="67">
        <f t="shared" si="3"/>
        <v>2.9765435611289304E-2</v>
      </c>
      <c r="K35" s="67">
        <f t="shared" si="4"/>
        <v>9.7654356112892859E-3</v>
      </c>
    </row>
    <row r="36" spans="4:11" x14ac:dyDescent="0.25">
      <c r="D36" s="66">
        <v>3.7054800000000001</v>
      </c>
      <c r="E36" s="79">
        <v>34</v>
      </c>
      <c r="F36" s="67">
        <f t="shared" si="0"/>
        <v>0.66</v>
      </c>
      <c r="G36" s="67">
        <f t="shared" si="1"/>
        <v>0.68</v>
      </c>
      <c r="H36" s="67">
        <f t="shared" si="2"/>
        <v>0.7281529246866002</v>
      </c>
      <c r="J36" s="67">
        <f t="shared" si="3"/>
        <v>4.8152924686600151E-2</v>
      </c>
      <c r="K36" s="67">
        <f t="shared" si="4"/>
        <v>6.8152924686600169E-2</v>
      </c>
    </row>
    <row r="37" spans="4:11" x14ac:dyDescent="0.25">
      <c r="D37" s="66">
        <v>3.7261500000000001</v>
      </c>
      <c r="E37" s="79">
        <v>35</v>
      </c>
      <c r="F37" s="67">
        <f t="shared" si="0"/>
        <v>0.68</v>
      </c>
      <c r="G37" s="67">
        <f t="shared" si="1"/>
        <v>0.7</v>
      </c>
      <c r="H37" s="67">
        <f t="shared" si="2"/>
        <v>0.73166060301748004</v>
      </c>
      <c r="J37" s="67">
        <f t="shared" si="3"/>
        <v>3.1660603017480082E-2</v>
      </c>
      <c r="K37" s="67">
        <f t="shared" si="4"/>
        <v>5.1660603017479989E-2</v>
      </c>
    </row>
    <row r="38" spans="4:11" x14ac:dyDescent="0.25">
      <c r="D38" s="66">
        <v>3.8111799999999998</v>
      </c>
      <c r="E38" s="79">
        <v>36</v>
      </c>
      <c r="F38" s="67">
        <f t="shared" si="0"/>
        <v>0.7</v>
      </c>
      <c r="G38" s="67">
        <f t="shared" si="1"/>
        <v>0.72</v>
      </c>
      <c r="H38" s="67">
        <f t="shared" si="2"/>
        <v>0.74584654330999456</v>
      </c>
      <c r="J38" s="67">
        <f t="shared" si="3"/>
        <v>2.5846543309994585E-2</v>
      </c>
      <c r="K38" s="67">
        <f t="shared" si="4"/>
        <v>4.5846543309994603E-2</v>
      </c>
    </row>
    <row r="39" spans="4:11" x14ac:dyDescent="0.25">
      <c r="D39" s="66">
        <v>3.81745</v>
      </c>
      <c r="E39" s="79">
        <v>37</v>
      </c>
      <c r="F39" s="67">
        <f t="shared" si="0"/>
        <v>0.72</v>
      </c>
      <c r="G39" s="67">
        <f t="shared" si="1"/>
        <v>0.74</v>
      </c>
      <c r="H39" s="67">
        <f t="shared" si="2"/>
        <v>0.74687680370380272</v>
      </c>
      <c r="J39" s="67">
        <f t="shared" si="3"/>
        <v>6.8768037038027252E-3</v>
      </c>
      <c r="K39" s="67">
        <f t="shared" si="4"/>
        <v>2.6876803703802743E-2</v>
      </c>
    </row>
    <row r="40" spans="4:11" x14ac:dyDescent="0.25">
      <c r="D40" s="66">
        <v>3.9186800000000002</v>
      </c>
      <c r="E40" s="79">
        <v>38</v>
      </c>
      <c r="F40" s="67">
        <f t="shared" si="0"/>
        <v>0.74</v>
      </c>
      <c r="G40" s="67">
        <f t="shared" si="1"/>
        <v>0.76</v>
      </c>
      <c r="H40" s="67">
        <f t="shared" si="2"/>
        <v>0.76320187952109153</v>
      </c>
      <c r="J40" s="67">
        <f t="shared" si="3"/>
        <v>3.2018795210915219E-3</v>
      </c>
      <c r="K40" s="67">
        <f t="shared" si="4"/>
        <v>2.320187952109154E-2</v>
      </c>
    </row>
    <row r="41" spans="4:11" x14ac:dyDescent="0.25">
      <c r="D41" s="66">
        <v>3.99708</v>
      </c>
      <c r="E41" s="79">
        <v>39</v>
      </c>
      <c r="F41" s="67">
        <f t="shared" si="0"/>
        <v>0.76</v>
      </c>
      <c r="G41" s="67">
        <f t="shared" si="1"/>
        <v>0.78</v>
      </c>
      <c r="H41" s="67">
        <f t="shared" si="2"/>
        <v>0.775436443604546</v>
      </c>
      <c r="J41" s="67">
        <f t="shared" si="3"/>
        <v>4.563556395454027E-3</v>
      </c>
      <c r="K41" s="67">
        <f t="shared" si="4"/>
        <v>1.5436443604545991E-2</v>
      </c>
    </row>
    <row r="42" spans="4:11" x14ac:dyDescent="0.25">
      <c r="D42" s="66">
        <v>4.2461700000000002</v>
      </c>
      <c r="E42" s="79">
        <v>40</v>
      </c>
      <c r="F42" s="67">
        <f t="shared" si="0"/>
        <v>0.78</v>
      </c>
      <c r="G42" s="67">
        <f t="shared" si="1"/>
        <v>0.8</v>
      </c>
      <c r="H42" s="67">
        <f t="shared" si="2"/>
        <v>0.81183857284069338</v>
      </c>
      <c r="J42" s="67">
        <f t="shared" si="3"/>
        <v>1.183857284069334E-2</v>
      </c>
      <c r="K42" s="67">
        <f t="shared" si="4"/>
        <v>3.1838572840693358E-2</v>
      </c>
    </row>
    <row r="43" spans="4:11" x14ac:dyDescent="0.25">
      <c r="D43" s="66">
        <v>4.3758400000000002</v>
      </c>
      <c r="E43" s="79">
        <v>41</v>
      </c>
      <c r="F43" s="67">
        <f t="shared" si="0"/>
        <v>0.8</v>
      </c>
      <c r="G43" s="67">
        <f t="shared" si="1"/>
        <v>0.82</v>
      </c>
      <c r="H43" s="67">
        <f t="shared" si="2"/>
        <v>0.82925672604176126</v>
      </c>
      <c r="J43" s="67">
        <f t="shared" si="3"/>
        <v>9.2567260417613095E-3</v>
      </c>
      <c r="K43" s="67">
        <f t="shared" si="4"/>
        <v>2.9256726041761216E-2</v>
      </c>
    </row>
    <row r="44" spans="4:11" x14ac:dyDescent="0.25">
      <c r="D44" s="66">
        <v>4.6064499999999997</v>
      </c>
      <c r="E44" s="79">
        <v>42</v>
      </c>
      <c r="F44" s="67">
        <f t="shared" si="0"/>
        <v>0.82</v>
      </c>
      <c r="G44" s="67">
        <f t="shared" si="1"/>
        <v>0.84</v>
      </c>
      <c r="H44" s="67">
        <f t="shared" si="2"/>
        <v>0.85759352271471756</v>
      </c>
      <c r="J44" s="67">
        <f t="shared" si="3"/>
        <v>1.7593522714717591E-2</v>
      </c>
      <c r="K44" s="67">
        <f t="shared" si="4"/>
        <v>3.7593522714717609E-2</v>
      </c>
    </row>
    <row r="45" spans="4:11" x14ac:dyDescent="0.25">
      <c r="D45" s="66">
        <v>4.6470500000000001</v>
      </c>
      <c r="E45" s="79">
        <v>43</v>
      </c>
      <c r="F45" s="67">
        <f t="shared" si="0"/>
        <v>0.84</v>
      </c>
      <c r="G45" s="67">
        <f t="shared" si="1"/>
        <v>0.86</v>
      </c>
      <c r="H45" s="67">
        <f t="shared" si="2"/>
        <v>0.86223235008039822</v>
      </c>
      <c r="J45" s="67">
        <f t="shared" si="3"/>
        <v>2.2323500803982377E-3</v>
      </c>
      <c r="K45" s="67">
        <f t="shared" si="4"/>
        <v>2.2232350080398255E-2</v>
      </c>
    </row>
    <row r="46" spans="4:11" x14ac:dyDescent="0.25">
      <c r="D46" s="66">
        <v>5.0537799999999997</v>
      </c>
      <c r="E46" s="79">
        <v>44</v>
      </c>
      <c r="F46" s="67">
        <f t="shared" si="0"/>
        <v>0.86</v>
      </c>
      <c r="G46" s="67">
        <f t="shared" si="1"/>
        <v>0.88</v>
      </c>
      <c r="H46" s="67">
        <f t="shared" si="2"/>
        <v>0.90304823479471708</v>
      </c>
      <c r="J46" s="67">
        <f t="shared" si="3"/>
        <v>2.3048234794717071E-2</v>
      </c>
      <c r="K46" s="67">
        <f t="shared" si="4"/>
        <v>4.3048234794717088E-2</v>
      </c>
    </row>
    <row r="47" spans="4:11" x14ac:dyDescent="0.25">
      <c r="D47" s="66">
        <v>5.10623</v>
      </c>
      <c r="E47" s="79">
        <v>45</v>
      </c>
      <c r="F47" s="67">
        <f t="shared" si="0"/>
        <v>0.88</v>
      </c>
      <c r="G47" s="67">
        <f t="shared" si="1"/>
        <v>0.9</v>
      </c>
      <c r="H47" s="67">
        <f t="shared" si="2"/>
        <v>0.90758553324006008</v>
      </c>
      <c r="J47" s="67">
        <f t="shared" si="3"/>
        <v>7.5855332400600606E-3</v>
      </c>
      <c r="K47" s="67">
        <f t="shared" si="4"/>
        <v>2.7585533240060078E-2</v>
      </c>
    </row>
    <row r="48" spans="4:11" x14ac:dyDescent="0.25">
      <c r="D48" s="66">
        <v>5.1539200000000003</v>
      </c>
      <c r="E48" s="79">
        <v>46</v>
      </c>
      <c r="F48" s="67">
        <f t="shared" si="0"/>
        <v>0.9</v>
      </c>
      <c r="G48" s="67">
        <f t="shared" si="1"/>
        <v>0.92</v>
      </c>
      <c r="H48" s="67">
        <f t="shared" si="2"/>
        <v>0.91157292135396517</v>
      </c>
      <c r="J48" s="67">
        <f t="shared" si="3"/>
        <v>8.427078646034869E-3</v>
      </c>
      <c r="K48" s="67">
        <f t="shared" si="4"/>
        <v>1.1572921353965149E-2</v>
      </c>
    </row>
    <row r="49" spans="4:11" x14ac:dyDescent="0.25">
      <c r="D49" s="66">
        <v>5.2593199999999998</v>
      </c>
      <c r="E49" s="79">
        <v>47</v>
      </c>
      <c r="F49" s="67">
        <f t="shared" si="0"/>
        <v>0.92</v>
      </c>
      <c r="G49" s="67">
        <f t="shared" si="1"/>
        <v>0.94</v>
      </c>
      <c r="H49" s="67">
        <f t="shared" si="2"/>
        <v>0.9199285006144805</v>
      </c>
      <c r="J49" s="67">
        <f t="shared" si="3"/>
        <v>2.0071499385519442E-2</v>
      </c>
      <c r="K49" s="67">
        <f t="shared" si="4"/>
        <v>7.1499385519535608E-5</v>
      </c>
    </row>
    <row r="50" spans="4:11" x14ac:dyDescent="0.25">
      <c r="D50" s="66">
        <v>5.4249200000000002</v>
      </c>
      <c r="E50" s="79">
        <v>48</v>
      </c>
      <c r="F50" s="67">
        <f t="shared" si="0"/>
        <v>0.94</v>
      </c>
      <c r="G50" s="67">
        <f t="shared" si="1"/>
        <v>0.96</v>
      </c>
      <c r="H50" s="67">
        <f t="shared" si="2"/>
        <v>0.93183114694791602</v>
      </c>
      <c r="J50" s="67">
        <f t="shared" si="3"/>
        <v>2.8168853052083942E-2</v>
      </c>
      <c r="K50" s="67">
        <f t="shared" si="4"/>
        <v>8.1688530520839242E-3</v>
      </c>
    </row>
    <row r="51" spans="4:11" x14ac:dyDescent="0.25">
      <c r="D51" s="66">
        <v>5.4681600000000001</v>
      </c>
      <c r="E51" s="79">
        <v>49</v>
      </c>
      <c r="F51" s="67">
        <f t="shared" si="0"/>
        <v>0.96</v>
      </c>
      <c r="G51" s="67">
        <f t="shared" si="1"/>
        <v>0.98</v>
      </c>
      <c r="H51" s="67">
        <f t="shared" si="2"/>
        <v>0.93470218433507279</v>
      </c>
      <c r="J51" s="67">
        <f t="shared" si="3"/>
        <v>4.5297815664927188E-2</v>
      </c>
      <c r="K51" s="67">
        <f t="shared" si="4"/>
        <v>2.529781566492717E-2</v>
      </c>
    </row>
    <row r="52" spans="4:11" x14ac:dyDescent="0.25">
      <c r="D52" s="66">
        <v>6.4695099999999996</v>
      </c>
      <c r="E52" s="79">
        <v>50</v>
      </c>
      <c r="F52" s="67">
        <f t="shared" si="0"/>
        <v>0.98</v>
      </c>
      <c r="G52" s="67">
        <f t="shared" si="1"/>
        <v>1</v>
      </c>
      <c r="H52" s="67">
        <f t="shared" si="2"/>
        <v>0.9785971552035011</v>
      </c>
      <c r="J52" s="67">
        <f t="shared" si="3"/>
        <v>2.1402844796498899E-2</v>
      </c>
      <c r="K52" s="67">
        <f t="shared" si="4"/>
        <v>1.4028447964988811E-3</v>
      </c>
    </row>
  </sheetData>
  <mergeCells count="14">
    <mergeCell ref="K1:K2"/>
    <mergeCell ref="D1:D2"/>
    <mergeCell ref="E1:E2"/>
    <mergeCell ref="F1:F2"/>
    <mergeCell ref="G1:G2"/>
    <mergeCell ref="H1:H2"/>
    <mergeCell ref="J1:J2"/>
    <mergeCell ref="A13:B16"/>
    <mergeCell ref="Q5:Q6"/>
    <mergeCell ref="P8:P9"/>
    <mergeCell ref="Q8:Q9"/>
    <mergeCell ref="P12:P13"/>
    <mergeCell ref="Q12:T13"/>
    <mergeCell ref="P5:P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2694-453F-45A0-8309-4315458B916D}">
  <sheetPr>
    <tabColor theme="8" tint="0.39997558519241921"/>
  </sheetPr>
  <dimension ref="A1:S56"/>
  <sheetViews>
    <sheetView zoomScale="73" zoomScaleNormal="100" workbookViewId="0">
      <selection activeCell="F7" sqref="F7"/>
    </sheetView>
  </sheetViews>
  <sheetFormatPr defaultColWidth="8.85546875" defaultRowHeight="15" x14ac:dyDescent="0.25"/>
  <cols>
    <col min="1" max="1" width="15.140625" style="76" bestFit="1" customWidth="1"/>
    <col min="2" max="2" width="15.140625" style="1" customWidth="1"/>
    <col min="3" max="3" width="8.5703125" style="1" customWidth="1"/>
    <col min="4" max="4" width="8.85546875" style="1" customWidth="1"/>
    <col min="5" max="5" width="8.85546875" style="76" customWidth="1"/>
    <col min="6" max="7" width="8.85546875" style="1" customWidth="1"/>
    <col min="8" max="8" width="11.85546875" style="1" customWidth="1"/>
    <col min="9" max="9" width="12" style="1" bestFit="1" customWidth="1"/>
    <col min="10" max="10" width="8.85546875" style="1"/>
    <col min="11" max="11" width="11.85546875" style="1" bestFit="1" customWidth="1"/>
    <col min="12" max="12" width="12.140625" style="1" bestFit="1" customWidth="1"/>
    <col min="13" max="13" width="8.5703125" style="1" customWidth="1"/>
    <col min="14" max="14" width="19.7109375" style="1" customWidth="1"/>
    <col min="15" max="15" width="11.85546875" style="1" bestFit="1" customWidth="1"/>
    <col min="16" max="16" width="8.5703125" style="1" customWidth="1"/>
    <col min="17" max="17" width="16.42578125" style="1" customWidth="1"/>
    <col min="18" max="16384" width="8.85546875" style="1"/>
  </cols>
  <sheetData>
    <row r="1" spans="1:19" ht="14.45" customHeight="1" x14ac:dyDescent="0.25">
      <c r="A1" s="103" t="s">
        <v>77</v>
      </c>
      <c r="B1" s="103"/>
      <c r="C1" s="80" t="s">
        <v>29</v>
      </c>
      <c r="D1" s="67">
        <f>COUNT(B7:B56)</f>
        <v>50</v>
      </c>
      <c r="E1" s="1"/>
    </row>
    <row r="2" spans="1:19" ht="14.45" customHeight="1" x14ac:dyDescent="0.25">
      <c r="A2" s="103"/>
      <c r="B2" s="103"/>
      <c r="C2" s="63" t="s">
        <v>78</v>
      </c>
      <c r="D2" s="67">
        <f>COUNT(A7:A56)</f>
        <v>50</v>
      </c>
    </row>
    <row r="3" spans="1:19" ht="14.45" customHeight="1" x14ac:dyDescent="0.25">
      <c r="A3" s="73"/>
      <c r="B3" s="73"/>
      <c r="C3" s="73"/>
    </row>
    <row r="4" spans="1:19" ht="14.45" customHeight="1" x14ac:dyDescent="0.25">
      <c r="A4" s="1"/>
      <c r="B4" s="76"/>
      <c r="E4" s="1"/>
    </row>
    <row r="5" spans="1:19" ht="18.95" customHeight="1" x14ac:dyDescent="0.25">
      <c r="A5" s="126" t="s">
        <v>76</v>
      </c>
      <c r="B5" s="126" t="s">
        <v>75</v>
      </c>
      <c r="C5" s="126" t="s">
        <v>67</v>
      </c>
      <c r="D5" s="122"/>
      <c r="E5" s="122"/>
      <c r="F5" s="122"/>
      <c r="G5" s="69"/>
      <c r="H5" s="122"/>
      <c r="I5" s="122"/>
      <c r="J5" s="69"/>
      <c r="K5" s="63"/>
      <c r="L5" s="63" t="s">
        <v>70</v>
      </c>
      <c r="N5" s="63" t="s">
        <v>73</v>
      </c>
      <c r="O5" s="67">
        <v>0.1</v>
      </c>
      <c r="Q5"/>
    </row>
    <row r="6" spans="1:19" ht="14.45" customHeight="1" x14ac:dyDescent="0.25">
      <c r="A6" s="127"/>
      <c r="B6" s="127"/>
      <c r="C6" s="127"/>
      <c r="D6" s="123"/>
      <c r="E6" s="123"/>
      <c r="F6" s="123"/>
      <c r="G6" s="69"/>
      <c r="H6" s="123"/>
      <c r="I6" s="123"/>
      <c r="J6" s="69"/>
      <c r="K6" s="63"/>
      <c r="L6" s="67">
        <f>MAX(H7:H56)</f>
        <v>0.54</v>
      </c>
      <c r="N6" s="63" t="s">
        <v>69</v>
      </c>
      <c r="O6" s="67">
        <v>1.22</v>
      </c>
    </row>
    <row r="7" spans="1:19" ht="14.45" customHeight="1" x14ac:dyDescent="0.25">
      <c r="A7" s="66">
        <v>1.0032000000000001</v>
      </c>
      <c r="B7" s="66">
        <v>-1.6568700000000001</v>
      </c>
      <c r="C7" s="79">
        <v>1</v>
      </c>
      <c r="D7" s="67">
        <f>(C7-1)/$D$1</f>
        <v>0</v>
      </c>
      <c r="E7" s="67">
        <f>C7/$D$1</f>
        <v>0.02</v>
      </c>
      <c r="F7" s="67">
        <f>COUNTIF($B$7:$B$56,"&lt;"&amp;A7)/$D$1</f>
        <v>0.2</v>
      </c>
      <c r="H7" s="67">
        <f>ABS(E7-F7)</f>
        <v>0.18000000000000002</v>
      </c>
      <c r="I7" s="67">
        <f>ABS(F7-D7)</f>
        <v>0.2</v>
      </c>
      <c r="K7" s="67"/>
      <c r="L7" s="67">
        <f>MAX(I7:I56)</f>
        <v>0.52</v>
      </c>
    </row>
    <row r="8" spans="1:19" x14ac:dyDescent="0.25">
      <c r="A8" s="66">
        <v>1.00892</v>
      </c>
      <c r="B8" s="66">
        <v>-0.74036199999999996</v>
      </c>
      <c r="C8" s="79">
        <v>2</v>
      </c>
      <c r="D8" s="67">
        <f t="shared" ref="D8:D56" si="0">(C8-1)/$D$1</f>
        <v>0.02</v>
      </c>
      <c r="E8" s="67">
        <f t="shared" ref="E8:E56" si="1">C8/$D$1</f>
        <v>0.04</v>
      </c>
      <c r="F8" s="67">
        <f>COUNTIF($B$7:$B$56,"&lt;"&amp;A8)/$D$1</f>
        <v>0.2</v>
      </c>
      <c r="H8" s="67">
        <f t="shared" ref="H8:H56" si="2">ABS(E8-F8)</f>
        <v>0.16</v>
      </c>
      <c r="I8" s="67">
        <f t="shared" ref="I8:I56" si="3">ABS(F8-D8)</f>
        <v>0.18000000000000002</v>
      </c>
      <c r="N8" s="100"/>
      <c r="O8" s="124">
        <f>MAX(L6:L7)</f>
        <v>0.54</v>
      </c>
      <c r="Q8"/>
    </row>
    <row r="9" spans="1:19" ht="14.45" customHeight="1" x14ac:dyDescent="0.25">
      <c r="A9" s="66">
        <v>1.0301</v>
      </c>
      <c r="B9" s="66">
        <v>-0.73702800000000002</v>
      </c>
      <c r="C9" s="79">
        <v>3</v>
      </c>
      <c r="D9" s="67">
        <f t="shared" si="0"/>
        <v>0.04</v>
      </c>
      <c r="E9" s="67">
        <f t="shared" si="1"/>
        <v>0.06</v>
      </c>
      <c r="F9" s="67">
        <f>COUNTIF($B$7:$B$56,"&lt;"&amp;A9)/$D$1</f>
        <v>0.2</v>
      </c>
      <c r="H9" s="67">
        <f t="shared" si="2"/>
        <v>0.14000000000000001</v>
      </c>
      <c r="I9" s="67">
        <f t="shared" si="3"/>
        <v>0.16</v>
      </c>
      <c r="N9" s="101"/>
      <c r="O9" s="125"/>
    </row>
    <row r="10" spans="1:19" x14ac:dyDescent="0.25">
      <c r="A10" s="66">
        <v>1.0472900000000001</v>
      </c>
      <c r="B10" s="66">
        <v>-0.60269700000000004</v>
      </c>
      <c r="C10" s="79">
        <v>4</v>
      </c>
      <c r="D10" s="67">
        <f t="shared" si="0"/>
        <v>0.06</v>
      </c>
      <c r="E10" s="67">
        <f t="shared" si="1"/>
        <v>0.08</v>
      </c>
      <c r="F10" s="67">
        <f t="shared" ref="F10" si="4">COUNTIF($B$7:$B$56,"&lt;"&amp;A10)/$D$1</f>
        <v>0.2</v>
      </c>
      <c r="H10" s="67">
        <f t="shared" si="2"/>
        <v>0.12000000000000001</v>
      </c>
      <c r="I10" s="67">
        <f t="shared" si="3"/>
        <v>0.14000000000000001</v>
      </c>
    </row>
    <row r="11" spans="1:19" x14ac:dyDescent="0.25">
      <c r="A11" s="66">
        <v>1.0710900000000001</v>
      </c>
      <c r="B11" s="66">
        <v>-0.43187900000000001</v>
      </c>
      <c r="C11" s="79">
        <v>5</v>
      </c>
      <c r="D11" s="67">
        <f t="shared" si="0"/>
        <v>0.08</v>
      </c>
      <c r="E11" s="67">
        <f t="shared" si="1"/>
        <v>0.1</v>
      </c>
      <c r="F11" s="67">
        <f t="shared" ref="F11:F56" si="5">COUNTIF($B$7:$B$56,"&lt;"&amp;A11)/$D$1</f>
        <v>0.2</v>
      </c>
      <c r="H11" s="67">
        <f t="shared" si="2"/>
        <v>0.1</v>
      </c>
      <c r="I11" s="67">
        <f t="shared" si="3"/>
        <v>0.12000000000000001</v>
      </c>
      <c r="N11" s="119"/>
      <c r="O11" s="103">
        <f>SQRT((D1*D2)/(D1+D2))</f>
        <v>5</v>
      </c>
      <c r="Q11"/>
    </row>
    <row r="12" spans="1:19" x14ac:dyDescent="0.25">
      <c r="A12" s="66">
        <v>1.09911</v>
      </c>
      <c r="B12" s="66">
        <v>-0.17352000000000001</v>
      </c>
      <c r="C12" s="79">
        <v>6</v>
      </c>
      <c r="D12" s="67">
        <f t="shared" si="0"/>
        <v>0.1</v>
      </c>
      <c r="E12" s="67">
        <f t="shared" si="1"/>
        <v>0.12</v>
      </c>
      <c r="F12" s="67">
        <f t="shared" si="5"/>
        <v>0.22</v>
      </c>
      <c r="H12" s="67">
        <f t="shared" si="2"/>
        <v>0.1</v>
      </c>
      <c r="I12" s="67">
        <f t="shared" si="3"/>
        <v>0.12</v>
      </c>
      <c r="N12" s="119"/>
      <c r="O12" s="103"/>
    </row>
    <row r="13" spans="1:19" ht="14.1" customHeight="1" x14ac:dyDescent="0.25">
      <c r="A13" s="66">
        <v>1.1195900000000001</v>
      </c>
      <c r="B13" s="66">
        <v>-0.13830100000000001</v>
      </c>
      <c r="C13" s="79">
        <v>7</v>
      </c>
      <c r="D13" s="67">
        <f t="shared" si="0"/>
        <v>0.12</v>
      </c>
      <c r="E13" s="67">
        <f t="shared" si="1"/>
        <v>0.14000000000000001</v>
      </c>
      <c r="F13" s="67">
        <f t="shared" si="5"/>
        <v>0.22</v>
      </c>
      <c r="H13" s="67">
        <f t="shared" si="2"/>
        <v>7.9999999999999988E-2</v>
      </c>
      <c r="I13" s="67">
        <f t="shared" si="3"/>
        <v>0.1</v>
      </c>
      <c r="M13" s="78"/>
      <c r="S13" s="78"/>
    </row>
    <row r="14" spans="1:19" x14ac:dyDescent="0.25">
      <c r="A14" s="66">
        <v>1.1511100000000001</v>
      </c>
      <c r="B14" s="66">
        <v>-3.0000000000000001E-3</v>
      </c>
      <c r="C14" s="79">
        <v>8</v>
      </c>
      <c r="D14" s="67">
        <f t="shared" si="0"/>
        <v>0.14000000000000001</v>
      </c>
      <c r="E14" s="67">
        <f t="shared" si="1"/>
        <v>0.16</v>
      </c>
      <c r="F14" s="67">
        <f t="shared" si="5"/>
        <v>0.22</v>
      </c>
      <c r="H14" s="67">
        <f t="shared" si="2"/>
        <v>0.06</v>
      </c>
      <c r="I14" s="67">
        <f t="shared" si="3"/>
        <v>7.9999999999999988E-2</v>
      </c>
      <c r="M14" s="78"/>
      <c r="N14" s="104"/>
      <c r="O14" s="122" t="s">
        <v>71</v>
      </c>
      <c r="S14" s="78"/>
    </row>
    <row r="15" spans="1:19" x14ac:dyDescent="0.25">
      <c r="A15" s="66">
        <v>1.1653800000000001</v>
      </c>
      <c r="B15" s="66">
        <v>0.27818100000000001</v>
      </c>
      <c r="C15" s="79">
        <v>9</v>
      </c>
      <c r="D15" s="67">
        <f t="shared" si="0"/>
        <v>0.16</v>
      </c>
      <c r="E15" s="67">
        <f t="shared" si="1"/>
        <v>0.18</v>
      </c>
      <c r="F15" s="67">
        <f t="shared" si="5"/>
        <v>0.24</v>
      </c>
      <c r="H15" s="67">
        <f t="shared" si="2"/>
        <v>0.06</v>
      </c>
      <c r="I15" s="67">
        <f t="shared" si="3"/>
        <v>7.9999999999999988E-2</v>
      </c>
      <c r="N15" s="106"/>
      <c r="O15" s="123"/>
      <c r="P15" s="78"/>
      <c r="Q15" s="78"/>
      <c r="R15" s="78"/>
    </row>
    <row r="16" spans="1:19" ht="14.1" customHeight="1" x14ac:dyDescent="0.25">
      <c r="A16" s="66">
        <v>1.16568</v>
      </c>
      <c r="B16" s="66">
        <v>0.42441400000000001</v>
      </c>
      <c r="C16" s="79">
        <v>10</v>
      </c>
      <c r="D16" s="67">
        <f t="shared" si="0"/>
        <v>0.18</v>
      </c>
      <c r="E16" s="67">
        <f t="shared" si="1"/>
        <v>0.2</v>
      </c>
      <c r="F16" s="67">
        <f t="shared" si="5"/>
        <v>0.24</v>
      </c>
      <c r="H16" s="67">
        <f t="shared" si="2"/>
        <v>3.999999999999998E-2</v>
      </c>
      <c r="I16" s="67">
        <f t="shared" si="3"/>
        <v>0.06</v>
      </c>
      <c r="N16" s="67">
        <f>O11*O8</f>
        <v>2.7</v>
      </c>
      <c r="O16" s="67">
        <f>O6</f>
        <v>1.22</v>
      </c>
      <c r="P16" s="78"/>
      <c r="Q16" s="78"/>
      <c r="R16" s="78"/>
    </row>
    <row r="17" spans="1:19" x14ac:dyDescent="0.25">
      <c r="A17" s="66">
        <v>1.19563</v>
      </c>
      <c r="B17" s="66">
        <v>1.0916300000000001</v>
      </c>
      <c r="C17" s="79">
        <v>11</v>
      </c>
      <c r="D17" s="67">
        <f t="shared" si="0"/>
        <v>0.2</v>
      </c>
      <c r="E17" s="67">
        <f t="shared" si="1"/>
        <v>0.22</v>
      </c>
      <c r="F17" s="67">
        <f t="shared" si="5"/>
        <v>0.24</v>
      </c>
      <c r="H17" s="67">
        <f t="shared" si="2"/>
        <v>1.999999999999999E-2</v>
      </c>
      <c r="I17" s="67">
        <f t="shared" si="3"/>
        <v>3.999999999999998E-2</v>
      </c>
    </row>
    <row r="18" spans="1:19" ht="14.45" customHeight="1" x14ac:dyDescent="0.25">
      <c r="A18" s="66">
        <v>1.2020200000000001</v>
      </c>
      <c r="B18" s="66">
        <v>1.16337</v>
      </c>
      <c r="C18" s="79">
        <v>12</v>
      </c>
      <c r="D18" s="67">
        <f t="shared" si="0"/>
        <v>0.22</v>
      </c>
      <c r="E18" s="67">
        <f t="shared" si="1"/>
        <v>0.24</v>
      </c>
      <c r="F18" s="67">
        <f t="shared" si="5"/>
        <v>0.24</v>
      </c>
      <c r="H18" s="67">
        <f t="shared" si="2"/>
        <v>0</v>
      </c>
      <c r="I18" s="67">
        <f t="shared" si="3"/>
        <v>1.999999999999999E-2</v>
      </c>
      <c r="N18" s="104"/>
      <c r="O18" s="128" t="str">
        <f>IF(N16&lt;O16, "да; гипотеза не противоречит опытным данным, ее следует принять.", "нет; гипотеза противоречит опытным данным, ее следует отвергнуть.")</f>
        <v>нет; гипотеза противоречит опытным данным, ее следует отвергнуть.</v>
      </c>
      <c r="P18" s="129"/>
      <c r="Q18" s="129"/>
      <c r="R18" s="130"/>
    </row>
    <row r="19" spans="1:19" x14ac:dyDescent="0.25">
      <c r="A19" s="66">
        <v>1.2312099999999999</v>
      </c>
      <c r="B19" s="66">
        <v>1.25841</v>
      </c>
      <c r="C19" s="79">
        <v>13</v>
      </c>
      <c r="D19" s="67">
        <f t="shared" si="0"/>
        <v>0.24</v>
      </c>
      <c r="E19" s="67">
        <f t="shared" si="1"/>
        <v>0.26</v>
      </c>
      <c r="F19" s="67">
        <f t="shared" si="5"/>
        <v>0.24</v>
      </c>
      <c r="H19" s="67">
        <f t="shared" si="2"/>
        <v>2.0000000000000018E-2</v>
      </c>
      <c r="I19" s="67">
        <f t="shared" si="3"/>
        <v>0</v>
      </c>
      <c r="N19" s="106"/>
      <c r="O19" s="131"/>
      <c r="P19" s="132"/>
      <c r="Q19" s="132"/>
      <c r="R19" s="133"/>
    </row>
    <row r="20" spans="1:19" x14ac:dyDescent="0.25">
      <c r="A20" s="66">
        <v>1.2785299999999999</v>
      </c>
      <c r="B20" s="66">
        <v>1.49274</v>
      </c>
      <c r="C20" s="79">
        <v>14</v>
      </c>
      <c r="D20" s="67">
        <f t="shared" si="0"/>
        <v>0.26</v>
      </c>
      <c r="E20" s="67">
        <f t="shared" si="1"/>
        <v>0.28000000000000003</v>
      </c>
      <c r="F20" s="67">
        <f t="shared" si="5"/>
        <v>0.26</v>
      </c>
      <c r="H20" s="67">
        <f t="shared" si="2"/>
        <v>2.0000000000000018E-2</v>
      </c>
      <c r="I20" s="67">
        <f t="shared" si="3"/>
        <v>0</v>
      </c>
    </row>
    <row r="21" spans="1:19" x14ac:dyDescent="0.25">
      <c r="A21" s="66">
        <v>1.28857</v>
      </c>
      <c r="B21" s="66">
        <v>1.5833200000000001</v>
      </c>
      <c r="C21" s="79">
        <v>15</v>
      </c>
      <c r="D21" s="67">
        <f t="shared" si="0"/>
        <v>0.28000000000000003</v>
      </c>
      <c r="E21" s="67">
        <f t="shared" si="1"/>
        <v>0.3</v>
      </c>
      <c r="F21" s="67">
        <f t="shared" si="5"/>
        <v>0.26</v>
      </c>
      <c r="H21" s="67">
        <f t="shared" si="2"/>
        <v>3.999999999999998E-2</v>
      </c>
      <c r="I21" s="67">
        <f t="shared" si="3"/>
        <v>2.0000000000000018E-2</v>
      </c>
    </row>
    <row r="22" spans="1:19" x14ac:dyDescent="0.25">
      <c r="A22" s="66">
        <v>1.31524</v>
      </c>
      <c r="B22" s="66">
        <v>1.5901099999999999</v>
      </c>
      <c r="C22" s="79">
        <v>16</v>
      </c>
      <c r="D22" s="67">
        <f t="shared" si="0"/>
        <v>0.3</v>
      </c>
      <c r="E22" s="67">
        <f t="shared" si="1"/>
        <v>0.32</v>
      </c>
      <c r="F22" s="67">
        <f t="shared" si="5"/>
        <v>0.26</v>
      </c>
      <c r="H22" s="67">
        <f t="shared" si="2"/>
        <v>0.06</v>
      </c>
      <c r="I22" s="67">
        <f t="shared" si="3"/>
        <v>3.999999999999998E-2</v>
      </c>
      <c r="R22" s="77"/>
      <c r="S22" s="77"/>
    </row>
    <row r="23" spans="1:19" x14ac:dyDescent="0.25">
      <c r="A23" s="66">
        <v>1.33144</v>
      </c>
      <c r="B23" s="66">
        <v>1.63781</v>
      </c>
      <c r="C23" s="79">
        <v>17</v>
      </c>
      <c r="D23" s="67">
        <f t="shared" si="0"/>
        <v>0.32</v>
      </c>
      <c r="E23" s="67">
        <f t="shared" si="1"/>
        <v>0.34</v>
      </c>
      <c r="F23" s="67">
        <f t="shared" si="5"/>
        <v>0.26</v>
      </c>
      <c r="H23" s="67">
        <f t="shared" si="2"/>
        <v>8.0000000000000016E-2</v>
      </c>
      <c r="I23" s="67">
        <f t="shared" si="3"/>
        <v>0.06</v>
      </c>
      <c r="R23" s="77"/>
      <c r="S23" s="77"/>
    </row>
    <row r="24" spans="1:19" ht="14.45" customHeight="1" x14ac:dyDescent="0.25">
      <c r="A24" s="66">
        <v>1.35405</v>
      </c>
      <c r="B24" s="66">
        <v>1.72692</v>
      </c>
      <c r="C24" s="79">
        <v>18</v>
      </c>
      <c r="D24" s="67">
        <f t="shared" si="0"/>
        <v>0.34</v>
      </c>
      <c r="E24" s="67">
        <f t="shared" si="1"/>
        <v>0.36</v>
      </c>
      <c r="F24" s="67">
        <f t="shared" si="5"/>
        <v>0.26</v>
      </c>
      <c r="H24" s="67">
        <f t="shared" si="2"/>
        <v>9.9999999999999978E-2</v>
      </c>
      <c r="I24" s="67">
        <f t="shared" si="3"/>
        <v>8.0000000000000016E-2</v>
      </c>
      <c r="R24" s="77"/>
      <c r="S24" s="77"/>
    </row>
    <row r="25" spans="1:19" x14ac:dyDescent="0.25">
      <c r="A25" s="66">
        <v>1.38235</v>
      </c>
      <c r="B25" s="66">
        <v>1.7513700000000001</v>
      </c>
      <c r="C25" s="79">
        <v>19</v>
      </c>
      <c r="D25" s="67">
        <f t="shared" si="0"/>
        <v>0.36</v>
      </c>
      <c r="E25" s="67">
        <f t="shared" si="1"/>
        <v>0.38</v>
      </c>
      <c r="F25" s="67">
        <f t="shared" si="5"/>
        <v>0.26</v>
      </c>
      <c r="H25" s="67">
        <f t="shared" si="2"/>
        <v>0.12</v>
      </c>
      <c r="I25" s="67">
        <f t="shared" si="3"/>
        <v>9.9999999999999978E-2</v>
      </c>
    </row>
    <row r="26" spans="1:19" ht="14.1" customHeight="1" x14ac:dyDescent="0.25">
      <c r="A26" s="66">
        <v>1.39706</v>
      </c>
      <c r="B26" s="66">
        <v>1.9047400000000001</v>
      </c>
      <c r="C26" s="79">
        <v>20</v>
      </c>
      <c r="D26" s="67">
        <f t="shared" si="0"/>
        <v>0.38</v>
      </c>
      <c r="E26" s="67">
        <f t="shared" si="1"/>
        <v>0.4</v>
      </c>
      <c r="F26" s="67">
        <f t="shared" si="5"/>
        <v>0.26</v>
      </c>
      <c r="H26" s="67">
        <f t="shared" si="2"/>
        <v>0.14000000000000001</v>
      </c>
      <c r="I26" s="67">
        <f t="shared" si="3"/>
        <v>0.12</v>
      </c>
      <c r="Q26" s="75"/>
      <c r="R26" s="75"/>
      <c r="S26" s="75"/>
    </row>
    <row r="27" spans="1:19" x14ac:dyDescent="0.25">
      <c r="A27" s="66">
        <v>1.43075</v>
      </c>
      <c r="B27" s="66">
        <v>1.91276</v>
      </c>
      <c r="C27" s="79">
        <v>21</v>
      </c>
      <c r="D27" s="67">
        <f t="shared" si="0"/>
        <v>0.4</v>
      </c>
      <c r="E27" s="67">
        <f t="shared" si="1"/>
        <v>0.42</v>
      </c>
      <c r="F27" s="67">
        <f t="shared" si="5"/>
        <v>0.26</v>
      </c>
      <c r="H27" s="67">
        <f t="shared" si="2"/>
        <v>0.15999999999999998</v>
      </c>
      <c r="I27" s="67">
        <f t="shared" si="3"/>
        <v>0.14000000000000001</v>
      </c>
      <c r="Q27" s="75"/>
      <c r="R27" s="75"/>
      <c r="S27" s="75"/>
    </row>
    <row r="28" spans="1:19" x14ac:dyDescent="0.25">
      <c r="A28" s="66">
        <v>1.43868</v>
      </c>
      <c r="B28" s="66">
        <v>2.3263500000000001</v>
      </c>
      <c r="C28" s="79">
        <v>22</v>
      </c>
      <c r="D28" s="67">
        <f t="shared" si="0"/>
        <v>0.42</v>
      </c>
      <c r="E28" s="67">
        <f t="shared" si="1"/>
        <v>0.44</v>
      </c>
      <c r="F28" s="67">
        <f t="shared" si="5"/>
        <v>0.26</v>
      </c>
      <c r="H28" s="67">
        <f t="shared" si="2"/>
        <v>0.18</v>
      </c>
      <c r="I28" s="67">
        <f t="shared" si="3"/>
        <v>0.15999999999999998</v>
      </c>
      <c r="Q28" s="75"/>
      <c r="R28" s="75"/>
      <c r="S28" s="75"/>
    </row>
    <row r="29" spans="1:19" x14ac:dyDescent="0.25">
      <c r="A29" s="66">
        <v>1.4408700000000001</v>
      </c>
      <c r="B29" s="66">
        <v>2.4750100000000002</v>
      </c>
      <c r="C29" s="79">
        <v>23</v>
      </c>
      <c r="D29" s="67">
        <f t="shared" si="0"/>
        <v>0.44</v>
      </c>
      <c r="E29" s="67">
        <f t="shared" si="1"/>
        <v>0.46</v>
      </c>
      <c r="F29" s="67">
        <f t="shared" si="5"/>
        <v>0.26</v>
      </c>
      <c r="H29" s="67">
        <f t="shared" si="2"/>
        <v>0.2</v>
      </c>
      <c r="I29" s="67">
        <f t="shared" si="3"/>
        <v>0.18</v>
      </c>
    </row>
    <row r="30" spans="1:19" x14ac:dyDescent="0.25">
      <c r="A30" s="66">
        <v>1.4523900000000001</v>
      </c>
      <c r="B30" s="66">
        <v>2.7407699999999999</v>
      </c>
      <c r="C30" s="79">
        <v>24</v>
      </c>
      <c r="D30" s="67">
        <f t="shared" si="0"/>
        <v>0.46</v>
      </c>
      <c r="E30" s="67">
        <f t="shared" si="1"/>
        <v>0.48</v>
      </c>
      <c r="F30" s="67">
        <f t="shared" si="5"/>
        <v>0.26</v>
      </c>
      <c r="H30" s="67">
        <f t="shared" si="2"/>
        <v>0.21999999999999997</v>
      </c>
      <c r="I30" s="67">
        <f t="shared" si="3"/>
        <v>0.2</v>
      </c>
    </row>
    <row r="31" spans="1:19" x14ac:dyDescent="0.25">
      <c r="A31" s="66">
        <v>1.46665</v>
      </c>
      <c r="B31" s="66">
        <v>2.7423299999999999</v>
      </c>
      <c r="C31" s="79">
        <v>25</v>
      </c>
      <c r="D31" s="67">
        <f t="shared" si="0"/>
        <v>0.48</v>
      </c>
      <c r="E31" s="67">
        <f t="shared" si="1"/>
        <v>0.5</v>
      </c>
      <c r="F31" s="67">
        <f t="shared" si="5"/>
        <v>0.26</v>
      </c>
      <c r="H31" s="67">
        <f t="shared" si="2"/>
        <v>0.24</v>
      </c>
      <c r="I31" s="67">
        <f t="shared" si="3"/>
        <v>0.21999999999999997</v>
      </c>
    </row>
    <row r="32" spans="1:19" x14ac:dyDescent="0.25">
      <c r="A32" s="66">
        <v>1.4887300000000001</v>
      </c>
      <c r="B32" s="66">
        <v>2.7600500000000001</v>
      </c>
      <c r="C32" s="79">
        <v>26</v>
      </c>
      <c r="D32" s="67">
        <f t="shared" si="0"/>
        <v>0.5</v>
      </c>
      <c r="E32" s="67">
        <f t="shared" si="1"/>
        <v>0.52</v>
      </c>
      <c r="F32" s="67">
        <f t="shared" si="5"/>
        <v>0.26</v>
      </c>
      <c r="H32" s="67">
        <f t="shared" si="2"/>
        <v>0.26</v>
      </c>
      <c r="I32" s="67">
        <f t="shared" si="3"/>
        <v>0.24</v>
      </c>
    </row>
    <row r="33" spans="1:9" x14ac:dyDescent="0.25">
      <c r="A33" s="66">
        <v>1.5667199999999999</v>
      </c>
      <c r="B33" s="66">
        <v>2.7949199999999998</v>
      </c>
      <c r="C33" s="79">
        <v>27</v>
      </c>
      <c r="D33" s="67">
        <f t="shared" si="0"/>
        <v>0.52</v>
      </c>
      <c r="E33" s="67">
        <f t="shared" si="1"/>
        <v>0.54</v>
      </c>
      <c r="F33" s="67">
        <f t="shared" si="5"/>
        <v>0.28000000000000003</v>
      </c>
      <c r="H33" s="67">
        <f t="shared" si="2"/>
        <v>0.26</v>
      </c>
      <c r="I33" s="67">
        <f t="shared" si="3"/>
        <v>0.24</v>
      </c>
    </row>
    <row r="34" spans="1:9" x14ac:dyDescent="0.25">
      <c r="A34" s="66">
        <v>1.59293</v>
      </c>
      <c r="B34" s="66">
        <v>2.8339300000000001</v>
      </c>
      <c r="C34" s="79">
        <v>28</v>
      </c>
      <c r="D34" s="67">
        <f t="shared" si="0"/>
        <v>0.54</v>
      </c>
      <c r="E34" s="67">
        <f t="shared" si="1"/>
        <v>0.56000000000000005</v>
      </c>
      <c r="F34" s="67">
        <f t="shared" si="5"/>
        <v>0.32</v>
      </c>
      <c r="H34" s="67">
        <f t="shared" si="2"/>
        <v>0.24000000000000005</v>
      </c>
      <c r="I34" s="67">
        <f t="shared" si="3"/>
        <v>0.22000000000000003</v>
      </c>
    </row>
    <row r="35" spans="1:9" x14ac:dyDescent="0.25">
      <c r="A35" s="66">
        <v>1.6012599999999999</v>
      </c>
      <c r="B35" s="66">
        <v>2.9357099999999998</v>
      </c>
      <c r="C35" s="79">
        <v>29</v>
      </c>
      <c r="D35" s="67">
        <f t="shared" si="0"/>
        <v>0.56000000000000005</v>
      </c>
      <c r="E35" s="67">
        <f t="shared" si="1"/>
        <v>0.57999999999999996</v>
      </c>
      <c r="F35" s="67">
        <f t="shared" si="5"/>
        <v>0.32</v>
      </c>
      <c r="H35" s="67">
        <f t="shared" si="2"/>
        <v>0.25999999999999995</v>
      </c>
      <c r="I35" s="67">
        <f t="shared" si="3"/>
        <v>0.24000000000000005</v>
      </c>
    </row>
    <row r="36" spans="1:9" x14ac:dyDescent="0.25">
      <c r="A36" s="66">
        <v>1.60833</v>
      </c>
      <c r="B36" s="66">
        <v>3.0167700000000002</v>
      </c>
      <c r="C36" s="79">
        <v>30</v>
      </c>
      <c r="D36" s="67">
        <f t="shared" si="0"/>
        <v>0.57999999999999996</v>
      </c>
      <c r="E36" s="67">
        <f t="shared" si="1"/>
        <v>0.6</v>
      </c>
      <c r="F36" s="67">
        <f t="shared" si="5"/>
        <v>0.32</v>
      </c>
      <c r="H36" s="67">
        <f t="shared" si="2"/>
        <v>0.27999999999999997</v>
      </c>
      <c r="I36" s="67">
        <f t="shared" si="3"/>
        <v>0.25999999999999995</v>
      </c>
    </row>
    <row r="37" spans="1:9" x14ac:dyDescent="0.25">
      <c r="A37" s="66">
        <v>1.60971</v>
      </c>
      <c r="B37" s="66">
        <v>3.0217100000000001</v>
      </c>
      <c r="C37" s="79">
        <v>31</v>
      </c>
      <c r="D37" s="67">
        <f t="shared" si="0"/>
        <v>0.6</v>
      </c>
      <c r="E37" s="67">
        <f t="shared" si="1"/>
        <v>0.62</v>
      </c>
      <c r="F37" s="67">
        <f t="shared" si="5"/>
        <v>0.32</v>
      </c>
      <c r="H37" s="67">
        <f t="shared" si="2"/>
        <v>0.3</v>
      </c>
      <c r="I37" s="67">
        <f t="shared" si="3"/>
        <v>0.27999999999999997</v>
      </c>
    </row>
    <row r="38" spans="1:9" x14ac:dyDescent="0.25">
      <c r="A38" s="66">
        <v>1.6140699999999999</v>
      </c>
      <c r="B38" s="66">
        <v>3.1695199999999999</v>
      </c>
      <c r="C38" s="79">
        <v>32</v>
      </c>
      <c r="D38" s="67">
        <f t="shared" si="0"/>
        <v>0.62</v>
      </c>
      <c r="E38" s="67">
        <f t="shared" si="1"/>
        <v>0.64</v>
      </c>
      <c r="F38" s="67">
        <f t="shared" si="5"/>
        <v>0.32</v>
      </c>
      <c r="H38" s="67">
        <f t="shared" si="2"/>
        <v>0.32</v>
      </c>
      <c r="I38" s="67">
        <f t="shared" si="3"/>
        <v>0.3</v>
      </c>
    </row>
    <row r="39" spans="1:9" x14ac:dyDescent="0.25">
      <c r="A39" s="66">
        <v>1.6327499999999999</v>
      </c>
      <c r="B39" s="66">
        <v>3.1700400000000002</v>
      </c>
      <c r="C39" s="79">
        <v>33</v>
      </c>
      <c r="D39" s="67">
        <f t="shared" si="0"/>
        <v>0.64</v>
      </c>
      <c r="E39" s="67">
        <f t="shared" si="1"/>
        <v>0.66</v>
      </c>
      <c r="F39" s="67">
        <f t="shared" si="5"/>
        <v>0.32</v>
      </c>
      <c r="H39" s="67">
        <f t="shared" si="2"/>
        <v>0.34</v>
      </c>
      <c r="I39" s="67">
        <f t="shared" si="3"/>
        <v>0.32</v>
      </c>
    </row>
    <row r="40" spans="1:9" x14ac:dyDescent="0.25">
      <c r="A40" s="66">
        <v>1.63835</v>
      </c>
      <c r="B40" s="66">
        <v>3.7054800000000001</v>
      </c>
      <c r="C40" s="79">
        <v>34</v>
      </c>
      <c r="D40" s="67">
        <f t="shared" si="0"/>
        <v>0.66</v>
      </c>
      <c r="E40" s="67">
        <f t="shared" si="1"/>
        <v>0.68</v>
      </c>
      <c r="F40" s="67">
        <f t="shared" si="5"/>
        <v>0.34</v>
      </c>
      <c r="H40" s="67">
        <f t="shared" si="2"/>
        <v>0.34</v>
      </c>
      <c r="I40" s="67">
        <f t="shared" si="3"/>
        <v>0.32</v>
      </c>
    </row>
    <row r="41" spans="1:9" x14ac:dyDescent="0.25">
      <c r="A41" s="66">
        <v>1.64323</v>
      </c>
      <c r="B41" s="66">
        <v>3.7261500000000001</v>
      </c>
      <c r="C41" s="79">
        <v>35</v>
      </c>
      <c r="D41" s="67">
        <f t="shared" si="0"/>
        <v>0.68</v>
      </c>
      <c r="E41" s="67">
        <f t="shared" si="1"/>
        <v>0.7</v>
      </c>
      <c r="F41" s="67">
        <f t="shared" si="5"/>
        <v>0.34</v>
      </c>
      <c r="H41" s="67">
        <f t="shared" si="2"/>
        <v>0.35999999999999993</v>
      </c>
      <c r="I41" s="67">
        <f t="shared" si="3"/>
        <v>0.34</v>
      </c>
    </row>
    <row r="42" spans="1:9" x14ac:dyDescent="0.25">
      <c r="A42" s="66">
        <v>1.6846699999999999</v>
      </c>
      <c r="B42" s="66">
        <v>3.8111799999999998</v>
      </c>
      <c r="C42" s="79">
        <v>36</v>
      </c>
      <c r="D42" s="67">
        <f t="shared" si="0"/>
        <v>0.7</v>
      </c>
      <c r="E42" s="67">
        <f t="shared" si="1"/>
        <v>0.72</v>
      </c>
      <c r="F42" s="67">
        <f t="shared" si="5"/>
        <v>0.34</v>
      </c>
      <c r="H42" s="67">
        <f t="shared" si="2"/>
        <v>0.37999999999999995</v>
      </c>
      <c r="I42" s="67">
        <f t="shared" si="3"/>
        <v>0.35999999999999993</v>
      </c>
    </row>
    <row r="43" spans="1:9" x14ac:dyDescent="0.25">
      <c r="A43" s="66">
        <v>1.7030099999999999</v>
      </c>
      <c r="B43" s="66">
        <v>3.81745</v>
      </c>
      <c r="C43" s="79">
        <v>37</v>
      </c>
      <c r="D43" s="67">
        <f t="shared" si="0"/>
        <v>0.72</v>
      </c>
      <c r="E43" s="67">
        <f t="shared" si="1"/>
        <v>0.74</v>
      </c>
      <c r="F43" s="67">
        <f t="shared" si="5"/>
        <v>0.34</v>
      </c>
      <c r="H43" s="67">
        <f t="shared" si="2"/>
        <v>0.39999999999999997</v>
      </c>
      <c r="I43" s="67">
        <f t="shared" si="3"/>
        <v>0.37999999999999995</v>
      </c>
    </row>
    <row r="44" spans="1:9" x14ac:dyDescent="0.25">
      <c r="A44" s="66">
        <v>1.7760800000000001</v>
      </c>
      <c r="B44" s="66">
        <v>3.9186800000000002</v>
      </c>
      <c r="C44" s="79">
        <v>38</v>
      </c>
      <c r="D44" s="67">
        <f t="shared" si="0"/>
        <v>0.74</v>
      </c>
      <c r="E44" s="67">
        <f t="shared" si="1"/>
        <v>0.76</v>
      </c>
      <c r="F44" s="67">
        <f t="shared" si="5"/>
        <v>0.38</v>
      </c>
      <c r="H44" s="67">
        <f t="shared" si="2"/>
        <v>0.38</v>
      </c>
      <c r="I44" s="67">
        <f t="shared" si="3"/>
        <v>0.36</v>
      </c>
    </row>
    <row r="45" spans="1:9" x14ac:dyDescent="0.25">
      <c r="A45" s="66">
        <v>1.79559</v>
      </c>
      <c r="B45" s="66">
        <v>3.99708</v>
      </c>
      <c r="C45" s="79">
        <v>39</v>
      </c>
      <c r="D45" s="67">
        <f t="shared" si="0"/>
        <v>0.76</v>
      </c>
      <c r="E45" s="67">
        <f t="shared" si="1"/>
        <v>0.78</v>
      </c>
      <c r="F45" s="67">
        <f t="shared" si="5"/>
        <v>0.38</v>
      </c>
      <c r="H45" s="67">
        <f t="shared" si="2"/>
        <v>0.4</v>
      </c>
      <c r="I45" s="67">
        <f t="shared" si="3"/>
        <v>0.38</v>
      </c>
    </row>
    <row r="46" spans="1:9" x14ac:dyDescent="0.25">
      <c r="A46" s="66">
        <v>1.79654</v>
      </c>
      <c r="B46" s="66">
        <v>4.2461700000000002</v>
      </c>
      <c r="C46" s="79">
        <v>40</v>
      </c>
      <c r="D46" s="67">
        <f t="shared" si="0"/>
        <v>0.78</v>
      </c>
      <c r="E46" s="67">
        <f t="shared" si="1"/>
        <v>0.8</v>
      </c>
      <c r="F46" s="67">
        <f t="shared" si="5"/>
        <v>0.38</v>
      </c>
      <c r="H46" s="67">
        <f t="shared" si="2"/>
        <v>0.42000000000000004</v>
      </c>
      <c r="I46" s="67">
        <f t="shared" si="3"/>
        <v>0.4</v>
      </c>
    </row>
    <row r="47" spans="1:9" x14ac:dyDescent="0.25">
      <c r="A47" s="66">
        <v>1.8041400000000001</v>
      </c>
      <c r="B47" s="66">
        <v>4.3758400000000002</v>
      </c>
      <c r="C47" s="79">
        <v>41</v>
      </c>
      <c r="D47" s="67">
        <f t="shared" si="0"/>
        <v>0.8</v>
      </c>
      <c r="E47" s="67">
        <f t="shared" si="1"/>
        <v>0.82</v>
      </c>
      <c r="F47" s="67">
        <f t="shared" si="5"/>
        <v>0.38</v>
      </c>
      <c r="H47" s="67">
        <f t="shared" si="2"/>
        <v>0.43999999999999995</v>
      </c>
      <c r="I47" s="67">
        <f t="shared" si="3"/>
        <v>0.42000000000000004</v>
      </c>
    </row>
    <row r="48" spans="1:9" x14ac:dyDescent="0.25">
      <c r="A48" s="66">
        <v>1.80463</v>
      </c>
      <c r="B48" s="66">
        <v>4.6064499999999997</v>
      </c>
      <c r="C48" s="79">
        <v>42</v>
      </c>
      <c r="D48" s="67">
        <f t="shared" si="0"/>
        <v>0.82</v>
      </c>
      <c r="E48" s="67">
        <f t="shared" si="1"/>
        <v>0.84</v>
      </c>
      <c r="F48" s="67">
        <f t="shared" si="5"/>
        <v>0.38</v>
      </c>
      <c r="H48" s="67">
        <f t="shared" si="2"/>
        <v>0.45999999999999996</v>
      </c>
      <c r="I48" s="67">
        <f t="shared" si="3"/>
        <v>0.43999999999999995</v>
      </c>
    </row>
    <row r="49" spans="1:9" x14ac:dyDescent="0.25">
      <c r="A49" s="66">
        <v>1.8061400000000001</v>
      </c>
      <c r="B49" s="66">
        <v>4.6470500000000001</v>
      </c>
      <c r="C49" s="79">
        <v>43</v>
      </c>
      <c r="D49" s="67">
        <f t="shared" si="0"/>
        <v>0.84</v>
      </c>
      <c r="E49" s="67">
        <f t="shared" si="1"/>
        <v>0.86</v>
      </c>
      <c r="F49" s="67">
        <f t="shared" si="5"/>
        <v>0.38</v>
      </c>
      <c r="H49" s="67">
        <f t="shared" si="2"/>
        <v>0.48</v>
      </c>
      <c r="I49" s="67">
        <f t="shared" si="3"/>
        <v>0.45999999999999996</v>
      </c>
    </row>
    <row r="50" spans="1:9" x14ac:dyDescent="0.25">
      <c r="A50" s="66">
        <v>1.83894</v>
      </c>
      <c r="B50" s="66">
        <v>5.0537799999999997</v>
      </c>
      <c r="C50" s="79">
        <v>44</v>
      </c>
      <c r="D50" s="67">
        <f t="shared" si="0"/>
        <v>0.86</v>
      </c>
      <c r="E50" s="67">
        <f t="shared" si="1"/>
        <v>0.88</v>
      </c>
      <c r="F50" s="67">
        <f t="shared" si="5"/>
        <v>0.38</v>
      </c>
      <c r="H50" s="67">
        <f t="shared" si="2"/>
        <v>0.5</v>
      </c>
      <c r="I50" s="67">
        <f t="shared" si="3"/>
        <v>0.48</v>
      </c>
    </row>
    <row r="51" spans="1:9" x14ac:dyDescent="0.25">
      <c r="A51" s="66">
        <v>1.96417</v>
      </c>
      <c r="B51" s="66">
        <v>5.10623</v>
      </c>
      <c r="C51" s="79">
        <v>45</v>
      </c>
      <c r="D51" s="67">
        <f t="shared" si="0"/>
        <v>0.88</v>
      </c>
      <c r="E51" s="67">
        <f t="shared" si="1"/>
        <v>0.9</v>
      </c>
      <c r="F51" s="67">
        <f t="shared" si="5"/>
        <v>0.42</v>
      </c>
      <c r="H51" s="67">
        <f t="shared" si="2"/>
        <v>0.48000000000000004</v>
      </c>
      <c r="I51" s="67">
        <f t="shared" si="3"/>
        <v>0.46</v>
      </c>
    </row>
    <row r="52" spans="1:9" x14ac:dyDescent="0.25">
      <c r="A52" s="66">
        <v>1.98302</v>
      </c>
      <c r="B52" s="66">
        <v>5.1539200000000003</v>
      </c>
      <c r="C52" s="79">
        <v>46</v>
      </c>
      <c r="D52" s="67">
        <f t="shared" si="0"/>
        <v>0.9</v>
      </c>
      <c r="E52" s="67">
        <f t="shared" si="1"/>
        <v>0.92</v>
      </c>
      <c r="F52" s="67">
        <f t="shared" si="5"/>
        <v>0.42</v>
      </c>
      <c r="H52" s="67">
        <f t="shared" si="2"/>
        <v>0.5</v>
      </c>
      <c r="I52" s="67">
        <f t="shared" si="3"/>
        <v>0.48000000000000004</v>
      </c>
    </row>
    <row r="53" spans="1:9" x14ac:dyDescent="0.25">
      <c r="A53" s="66">
        <v>2.1029599999999999</v>
      </c>
      <c r="B53" s="66">
        <v>5.2593199999999998</v>
      </c>
      <c r="C53" s="79">
        <v>47</v>
      </c>
      <c r="D53" s="67">
        <f t="shared" si="0"/>
        <v>0.92</v>
      </c>
      <c r="E53" s="67">
        <f t="shared" si="1"/>
        <v>0.94</v>
      </c>
      <c r="F53" s="67">
        <f t="shared" si="5"/>
        <v>0.42</v>
      </c>
      <c r="H53" s="67">
        <f t="shared" si="2"/>
        <v>0.52</v>
      </c>
      <c r="I53" s="67">
        <f t="shared" si="3"/>
        <v>0.5</v>
      </c>
    </row>
    <row r="54" spans="1:9" x14ac:dyDescent="0.25">
      <c r="A54" s="66">
        <v>2.1596799999999998</v>
      </c>
      <c r="B54" s="66">
        <v>5.4249200000000002</v>
      </c>
      <c r="C54" s="79">
        <v>48</v>
      </c>
      <c r="D54" s="67">
        <f t="shared" si="0"/>
        <v>0.94</v>
      </c>
      <c r="E54" s="67">
        <f t="shared" si="1"/>
        <v>0.96</v>
      </c>
      <c r="F54" s="67">
        <f t="shared" si="5"/>
        <v>0.42</v>
      </c>
      <c r="H54" s="67">
        <f t="shared" si="2"/>
        <v>0.54</v>
      </c>
      <c r="I54" s="67">
        <f t="shared" si="3"/>
        <v>0.52</v>
      </c>
    </row>
    <row r="55" spans="1:9" x14ac:dyDescent="0.25">
      <c r="A55" s="66">
        <v>2.8480599999999998</v>
      </c>
      <c r="B55" s="66">
        <v>5.4681600000000001</v>
      </c>
      <c r="C55" s="79">
        <v>49</v>
      </c>
      <c r="D55" s="67">
        <f t="shared" si="0"/>
        <v>0.96</v>
      </c>
      <c r="E55" s="67">
        <f t="shared" si="1"/>
        <v>0.98</v>
      </c>
      <c r="F55" s="67">
        <f t="shared" si="5"/>
        <v>0.56000000000000005</v>
      </c>
      <c r="H55" s="67">
        <f t="shared" si="2"/>
        <v>0.41999999999999993</v>
      </c>
      <c r="I55" s="67">
        <f t="shared" si="3"/>
        <v>0.39999999999999991</v>
      </c>
    </row>
    <row r="56" spans="1:9" x14ac:dyDescent="0.25">
      <c r="A56" s="66">
        <v>2.9899100000000001</v>
      </c>
      <c r="B56" s="66">
        <v>6.4695099999999996</v>
      </c>
      <c r="C56" s="79">
        <v>50</v>
      </c>
      <c r="D56" s="67">
        <f t="shared" si="0"/>
        <v>0.98</v>
      </c>
      <c r="E56" s="67">
        <f t="shared" si="1"/>
        <v>1</v>
      </c>
      <c r="F56" s="67">
        <f t="shared" si="5"/>
        <v>0.57999999999999996</v>
      </c>
      <c r="H56" s="67">
        <f t="shared" si="2"/>
        <v>0.42000000000000004</v>
      </c>
      <c r="I56" s="67">
        <f t="shared" si="3"/>
        <v>0.4</v>
      </c>
    </row>
  </sheetData>
  <mergeCells count="17">
    <mergeCell ref="N18:N19"/>
    <mergeCell ref="O18:R19"/>
    <mergeCell ref="N11:N12"/>
    <mergeCell ref="O11:O12"/>
    <mergeCell ref="O14:O15"/>
    <mergeCell ref="N14:N15"/>
    <mergeCell ref="A1:B2"/>
    <mergeCell ref="E5:E6"/>
    <mergeCell ref="F5:F6"/>
    <mergeCell ref="O8:O9"/>
    <mergeCell ref="N8:N9"/>
    <mergeCell ref="H5:H6"/>
    <mergeCell ref="I5:I6"/>
    <mergeCell ref="A5:A6"/>
    <mergeCell ref="B5:B6"/>
    <mergeCell ref="C5:C6"/>
    <mergeCell ref="D5:D6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5D15-48E7-4CB9-9029-DC9815C2B295}">
  <sheetPr>
    <tabColor theme="8" tint="0.39997558519241921"/>
  </sheetPr>
  <dimension ref="A1:S102"/>
  <sheetViews>
    <sheetView zoomScale="89" zoomScaleNormal="160" workbookViewId="0">
      <selection activeCell="N9" sqref="N9"/>
    </sheetView>
  </sheetViews>
  <sheetFormatPr defaultColWidth="8.85546875" defaultRowHeight="15" customHeight="1" x14ac:dyDescent="0.25"/>
  <cols>
    <col min="1" max="1" width="16" style="77" customWidth="1"/>
    <col min="2" max="2" width="10.5703125" style="77" customWidth="1"/>
    <col min="3" max="3" width="8.5703125" style="77" customWidth="1"/>
    <col min="4" max="7" width="8.85546875" style="77" customWidth="1"/>
    <col min="8" max="8" width="18.85546875" style="77" customWidth="1"/>
    <col min="9" max="9" width="12" style="77" bestFit="1" customWidth="1"/>
    <col min="10" max="10" width="8.85546875" style="77"/>
    <col min="11" max="11" width="11.85546875" style="77" bestFit="1" customWidth="1"/>
    <col min="12" max="12" width="12.140625" style="77" bestFit="1" customWidth="1"/>
    <col min="13" max="13" width="8.5703125" style="77" customWidth="1"/>
    <col min="14" max="14" width="16.85546875" style="77" customWidth="1"/>
    <col min="15" max="15" width="11.85546875" style="77" bestFit="1" customWidth="1"/>
    <col min="16" max="16" width="8.5703125" style="77" customWidth="1"/>
    <col min="17" max="17" width="16.42578125" style="77" customWidth="1"/>
    <col min="18" max="16384" width="8.85546875" style="77"/>
  </cols>
  <sheetData>
    <row r="1" spans="1:19" ht="15" customHeight="1" x14ac:dyDescent="0.25">
      <c r="A1" s="111" t="s">
        <v>79</v>
      </c>
      <c r="B1" s="111" t="s">
        <v>80</v>
      </c>
      <c r="C1" s="120" t="s">
        <v>67</v>
      </c>
      <c r="E1" s="63" t="s">
        <v>82</v>
      </c>
      <c r="F1" s="68">
        <f>SUMIF(B3:B102, 1, C3:C102)</f>
        <v>2039</v>
      </c>
      <c r="H1" s="63" t="s">
        <v>84</v>
      </c>
      <c r="I1" s="68">
        <f>$F$5*$F$6+(F5*(F5+1))/2 - F1</f>
        <v>1736</v>
      </c>
      <c r="K1"/>
    </row>
    <row r="2" spans="1:19" ht="15" customHeight="1" x14ac:dyDescent="0.25">
      <c r="A2" s="111"/>
      <c r="B2" s="111"/>
      <c r="C2" s="120"/>
      <c r="E2" s="63" t="s">
        <v>83</v>
      </c>
      <c r="F2" s="68">
        <f>SUMIF(B3:B102, 2, C3:C102)</f>
        <v>3011</v>
      </c>
      <c r="H2" s="63" t="s">
        <v>85</v>
      </c>
      <c r="I2" s="68">
        <f>$F$5*$F$6+(F6*(F6+1))/2 - F2</f>
        <v>764</v>
      </c>
    </row>
    <row r="3" spans="1:19" ht="15" customHeight="1" x14ac:dyDescent="0.25">
      <c r="A3" s="79">
        <v>-1.6568700000000001</v>
      </c>
      <c r="B3" s="79">
        <v>2</v>
      </c>
      <c r="C3" s="79">
        <v>1</v>
      </c>
      <c r="E3" s="63" t="s">
        <v>81</v>
      </c>
      <c r="F3" s="68">
        <f>SUM(C3:C102)</f>
        <v>5050</v>
      </c>
      <c r="K3"/>
    </row>
    <row r="4" spans="1:19" ht="15" customHeight="1" x14ac:dyDescent="0.25">
      <c r="A4" s="79">
        <v>-0.74036199999999996</v>
      </c>
      <c r="B4" s="79">
        <v>2</v>
      </c>
      <c r="C4" s="79">
        <v>2</v>
      </c>
      <c r="E4" s="73"/>
      <c r="F4" s="73"/>
      <c r="H4" s="63" t="s">
        <v>86</v>
      </c>
      <c r="I4" s="68">
        <f>I1+I2</f>
        <v>2500</v>
      </c>
    </row>
    <row r="5" spans="1:19" ht="15" customHeight="1" x14ac:dyDescent="0.25">
      <c r="A5" s="79">
        <v>-0.73702800000000002</v>
      </c>
      <c r="B5" s="79">
        <v>2</v>
      </c>
      <c r="C5" s="79">
        <v>3</v>
      </c>
      <c r="E5" s="63" t="s">
        <v>29</v>
      </c>
      <c r="F5" s="68">
        <f>COUNTIF(B3:B102, 1)</f>
        <v>50</v>
      </c>
      <c r="H5" s="63" t="s">
        <v>87</v>
      </c>
      <c r="I5" s="68">
        <f>F5*F6</f>
        <v>2500</v>
      </c>
    </row>
    <row r="6" spans="1:19" ht="15" customHeight="1" x14ac:dyDescent="0.25">
      <c r="A6" s="79">
        <v>-0.60269700000000004</v>
      </c>
      <c r="B6" s="79">
        <v>2</v>
      </c>
      <c r="C6" s="79">
        <v>4</v>
      </c>
      <c r="E6" s="63" t="s">
        <v>78</v>
      </c>
      <c r="F6" s="68">
        <f>COUNTIF(B3:B102, 2)</f>
        <v>50</v>
      </c>
    </row>
    <row r="7" spans="1:19" ht="15" customHeight="1" x14ac:dyDescent="0.25">
      <c r="A7" s="79">
        <v>-0.43187900000000001</v>
      </c>
      <c r="B7" s="79">
        <v>2</v>
      </c>
      <c r="C7" s="79">
        <v>5</v>
      </c>
      <c r="H7" s="120"/>
      <c r="I7" s="120"/>
      <c r="J7" s="120"/>
      <c r="K7" s="120"/>
      <c r="L7" s="120"/>
      <c r="M7" s="120"/>
      <c r="N7" s="120"/>
      <c r="O7"/>
    </row>
    <row r="8" spans="1:19" ht="15" customHeight="1" x14ac:dyDescent="0.25">
      <c r="A8" s="79">
        <v>-0.17352000000000001</v>
      </c>
      <c r="B8" s="79">
        <v>2</v>
      </c>
      <c r="C8" s="79">
        <v>6</v>
      </c>
      <c r="E8" s="63" t="s">
        <v>27</v>
      </c>
      <c r="F8" s="68">
        <v>0.1</v>
      </c>
      <c r="H8" s="120"/>
      <c r="I8" s="120"/>
      <c r="J8" s="120"/>
      <c r="K8" s="120"/>
      <c r="L8" s="120"/>
      <c r="M8" s="120"/>
      <c r="N8" s="120"/>
    </row>
    <row r="9" spans="1:19" ht="15" customHeight="1" x14ac:dyDescent="0.25">
      <c r="A9" s="79">
        <v>-0.13830100000000001</v>
      </c>
      <c r="B9" s="79">
        <v>2</v>
      </c>
      <c r="C9" s="79">
        <v>7</v>
      </c>
      <c r="H9" s="68">
        <f>MIN(I1:I2)</f>
        <v>764</v>
      </c>
      <c r="I9" s="68">
        <f>_xlfn.NORM.S.INV(1-F8/2)</f>
        <v>1.6448536269514715</v>
      </c>
      <c r="J9" s="68">
        <f>F5*F6/2</f>
        <v>1250</v>
      </c>
      <c r="K9" s="68">
        <f>(F5*F6/12)*(F5+F6-1)</f>
        <v>20625</v>
      </c>
      <c r="L9" s="68">
        <f>(H9-J9)/(SQRT(K9))</f>
        <v>-3.3840696317787655</v>
      </c>
      <c r="M9" s="68">
        <f>ABS(L9)</f>
        <v>3.3840696317787655</v>
      </c>
      <c r="N9" s="68" t="str">
        <f>IF(M9&lt;I9, "да", "нет")</f>
        <v>нет</v>
      </c>
    </row>
    <row r="10" spans="1:19" ht="15" customHeight="1" x14ac:dyDescent="0.25">
      <c r="A10" s="79">
        <v>-3.0000000000000001E-3</v>
      </c>
      <c r="B10" s="79">
        <v>2</v>
      </c>
      <c r="C10" s="79">
        <v>8</v>
      </c>
      <c r="N10" s="75"/>
    </row>
    <row r="11" spans="1:19" ht="15" customHeight="1" x14ac:dyDescent="0.25">
      <c r="A11" s="79">
        <v>0.27818100000000001</v>
      </c>
      <c r="B11" s="79">
        <v>2</v>
      </c>
      <c r="C11" s="79">
        <v>9</v>
      </c>
      <c r="E11" s="103" t="s">
        <v>77</v>
      </c>
      <c r="F11" s="103"/>
      <c r="G11" s="103"/>
      <c r="L11" s="102" t="str">
        <f>IF(N9="да", "гипотеза не противоречит опытным данным, ее можно принять.", "гипотеза противоречит опытным данным, ее стоит отвергнуть.")</f>
        <v>гипотеза противоречит опытным данным, ее стоит отвергнуть.</v>
      </c>
      <c r="M11" s="102"/>
      <c r="N11" s="102"/>
    </row>
    <row r="12" spans="1:19" ht="15" customHeight="1" x14ac:dyDescent="0.25">
      <c r="A12" s="79">
        <v>0.42441400000000001</v>
      </c>
      <c r="B12" s="79">
        <v>2</v>
      </c>
      <c r="C12" s="79">
        <v>10</v>
      </c>
      <c r="E12" s="103"/>
      <c r="F12" s="103"/>
      <c r="G12" s="103"/>
      <c r="L12" s="102"/>
      <c r="M12" s="102"/>
      <c r="N12" s="102"/>
    </row>
    <row r="13" spans="1:19" ht="15" customHeight="1" x14ac:dyDescent="0.25">
      <c r="A13" s="79">
        <v>1.0032000000000001</v>
      </c>
      <c r="B13" s="79">
        <v>1</v>
      </c>
      <c r="C13" s="79">
        <v>11</v>
      </c>
    </row>
    <row r="14" spans="1:19" ht="15" customHeight="1" x14ac:dyDescent="0.25">
      <c r="A14" s="79">
        <v>1.00892</v>
      </c>
      <c r="B14" s="79">
        <v>1</v>
      </c>
      <c r="C14" s="79">
        <v>12</v>
      </c>
      <c r="M14" s="75"/>
      <c r="S14" s="75"/>
    </row>
    <row r="15" spans="1:19" ht="15" customHeight="1" x14ac:dyDescent="0.25">
      <c r="A15" s="79">
        <v>1.0301</v>
      </c>
      <c r="B15" s="79">
        <v>1</v>
      </c>
      <c r="C15" s="79">
        <v>13</v>
      </c>
      <c r="M15" s="75"/>
      <c r="S15" s="75"/>
    </row>
    <row r="16" spans="1:19" ht="15" customHeight="1" x14ac:dyDescent="0.25">
      <c r="A16" s="79">
        <v>1.0472900000000001</v>
      </c>
      <c r="B16" s="79">
        <v>1</v>
      </c>
      <c r="C16" s="79">
        <v>14</v>
      </c>
      <c r="P16" s="75"/>
      <c r="Q16" s="75"/>
      <c r="R16" s="75"/>
    </row>
    <row r="17" spans="1:19" ht="15" customHeight="1" x14ac:dyDescent="0.25">
      <c r="A17" s="79">
        <v>1.0710900000000001</v>
      </c>
      <c r="B17" s="79">
        <v>1</v>
      </c>
      <c r="C17" s="79">
        <v>15</v>
      </c>
      <c r="P17" s="75"/>
      <c r="Q17" s="75"/>
      <c r="R17" s="75"/>
    </row>
    <row r="18" spans="1:19" ht="15" customHeight="1" x14ac:dyDescent="0.25">
      <c r="A18" s="79">
        <v>1.0916300000000001</v>
      </c>
      <c r="B18" s="79">
        <v>2</v>
      </c>
      <c r="C18" s="79">
        <v>16</v>
      </c>
    </row>
    <row r="19" spans="1:19" ht="15" customHeight="1" x14ac:dyDescent="0.25">
      <c r="A19" s="79">
        <v>1.09911</v>
      </c>
      <c r="B19" s="79">
        <v>1</v>
      </c>
      <c r="C19" s="79">
        <v>17</v>
      </c>
      <c r="O19" s="75"/>
      <c r="P19" s="75"/>
      <c r="Q19" s="75"/>
      <c r="R19" s="75"/>
    </row>
    <row r="20" spans="1:19" ht="15" customHeight="1" x14ac:dyDescent="0.25">
      <c r="A20" s="79">
        <v>1.1195900000000001</v>
      </c>
      <c r="B20" s="79">
        <v>1</v>
      </c>
      <c r="C20" s="79">
        <v>18</v>
      </c>
      <c r="O20" s="75"/>
      <c r="P20" s="75"/>
      <c r="Q20" s="75"/>
      <c r="R20" s="75"/>
    </row>
    <row r="21" spans="1:19" ht="15" customHeight="1" x14ac:dyDescent="0.25">
      <c r="A21" s="79">
        <v>1.1511100000000001</v>
      </c>
      <c r="B21" s="79">
        <v>1</v>
      </c>
      <c r="C21" s="79">
        <v>19</v>
      </c>
    </row>
    <row r="22" spans="1:19" ht="15" customHeight="1" x14ac:dyDescent="0.25">
      <c r="A22" s="79">
        <v>1.16337</v>
      </c>
      <c r="B22" s="79">
        <v>2</v>
      </c>
      <c r="C22" s="79">
        <v>20</v>
      </c>
    </row>
    <row r="23" spans="1:19" ht="15" customHeight="1" x14ac:dyDescent="0.25">
      <c r="A23" s="79">
        <v>1.1653800000000001</v>
      </c>
      <c r="B23" s="79">
        <v>1</v>
      </c>
      <c r="C23" s="79">
        <v>21</v>
      </c>
    </row>
    <row r="24" spans="1:19" ht="15" customHeight="1" x14ac:dyDescent="0.25">
      <c r="A24" s="79">
        <v>1.16568</v>
      </c>
      <c r="B24" s="79">
        <v>1</v>
      </c>
      <c r="C24" s="79">
        <v>22</v>
      </c>
    </row>
    <row r="25" spans="1:19" ht="15" customHeight="1" x14ac:dyDescent="0.25">
      <c r="A25" s="79">
        <v>1.19563</v>
      </c>
      <c r="B25" s="79">
        <v>1</v>
      </c>
      <c r="C25" s="79">
        <v>23</v>
      </c>
    </row>
    <row r="26" spans="1:19" ht="15" customHeight="1" x14ac:dyDescent="0.25">
      <c r="A26" s="79">
        <v>1.2020200000000001</v>
      </c>
      <c r="B26" s="79">
        <v>1</v>
      </c>
      <c r="C26" s="79">
        <v>24</v>
      </c>
    </row>
    <row r="27" spans="1:19" ht="15" customHeight="1" x14ac:dyDescent="0.25">
      <c r="A27" s="79">
        <v>1.2312099999999999</v>
      </c>
      <c r="B27" s="79">
        <v>1</v>
      </c>
      <c r="C27" s="79">
        <v>25</v>
      </c>
      <c r="Q27" s="75"/>
      <c r="R27" s="75"/>
      <c r="S27" s="75"/>
    </row>
    <row r="28" spans="1:19" ht="15" customHeight="1" x14ac:dyDescent="0.25">
      <c r="A28" s="79">
        <v>1.25841</v>
      </c>
      <c r="B28" s="79">
        <v>2</v>
      </c>
      <c r="C28" s="79">
        <v>26</v>
      </c>
      <c r="Q28" s="75"/>
      <c r="R28" s="75"/>
      <c r="S28" s="75"/>
    </row>
    <row r="29" spans="1:19" ht="15" customHeight="1" x14ac:dyDescent="0.25">
      <c r="A29" s="79">
        <v>1.2785299999999999</v>
      </c>
      <c r="B29" s="79">
        <v>1</v>
      </c>
      <c r="C29" s="79">
        <v>27</v>
      </c>
      <c r="Q29" s="75"/>
      <c r="R29" s="75"/>
      <c r="S29" s="75"/>
    </row>
    <row r="30" spans="1:19" ht="15" customHeight="1" x14ac:dyDescent="0.25">
      <c r="A30" s="79">
        <v>1.28857</v>
      </c>
      <c r="B30" s="79">
        <v>1</v>
      </c>
      <c r="C30" s="79">
        <v>28</v>
      </c>
    </row>
    <row r="31" spans="1:19" ht="15" customHeight="1" x14ac:dyDescent="0.25">
      <c r="A31" s="79">
        <v>1.31524</v>
      </c>
      <c r="B31" s="79">
        <v>1</v>
      </c>
      <c r="C31" s="79">
        <v>29</v>
      </c>
    </row>
    <row r="32" spans="1:19" ht="15" customHeight="1" x14ac:dyDescent="0.25">
      <c r="A32" s="79">
        <v>1.33144</v>
      </c>
      <c r="B32" s="79">
        <v>1</v>
      </c>
      <c r="C32" s="79">
        <v>30</v>
      </c>
    </row>
    <row r="33" spans="1:3" ht="15" customHeight="1" x14ac:dyDescent="0.25">
      <c r="A33" s="79">
        <v>1.35405</v>
      </c>
      <c r="B33" s="79">
        <v>1</v>
      </c>
      <c r="C33" s="79">
        <v>31</v>
      </c>
    </row>
    <row r="34" spans="1:3" ht="15" customHeight="1" x14ac:dyDescent="0.25">
      <c r="A34" s="79">
        <v>1.38235</v>
      </c>
      <c r="B34" s="79">
        <v>1</v>
      </c>
      <c r="C34" s="79">
        <v>32</v>
      </c>
    </row>
    <row r="35" spans="1:3" ht="15" customHeight="1" x14ac:dyDescent="0.25">
      <c r="A35" s="79">
        <v>1.39706</v>
      </c>
      <c r="B35" s="79">
        <v>1</v>
      </c>
      <c r="C35" s="79">
        <v>33</v>
      </c>
    </row>
    <row r="36" spans="1:3" ht="15" customHeight="1" x14ac:dyDescent="0.25">
      <c r="A36" s="79">
        <v>1.43075</v>
      </c>
      <c r="B36" s="79">
        <v>1</v>
      </c>
      <c r="C36" s="79">
        <v>34</v>
      </c>
    </row>
    <row r="37" spans="1:3" ht="15" customHeight="1" x14ac:dyDescent="0.25">
      <c r="A37" s="79">
        <v>1.43868</v>
      </c>
      <c r="B37" s="79">
        <v>1</v>
      </c>
      <c r="C37" s="79">
        <v>35</v>
      </c>
    </row>
    <row r="38" spans="1:3" ht="15" customHeight="1" x14ac:dyDescent="0.25">
      <c r="A38" s="79">
        <v>1.4408700000000001</v>
      </c>
      <c r="B38" s="79">
        <v>1</v>
      </c>
      <c r="C38" s="79">
        <v>36</v>
      </c>
    </row>
    <row r="39" spans="1:3" ht="15" customHeight="1" x14ac:dyDescent="0.25">
      <c r="A39" s="79">
        <v>1.4523900000000001</v>
      </c>
      <c r="B39" s="79">
        <v>1</v>
      </c>
      <c r="C39" s="79">
        <v>37</v>
      </c>
    </row>
    <row r="40" spans="1:3" ht="15" customHeight="1" x14ac:dyDescent="0.25">
      <c r="A40" s="79">
        <v>1.46665</v>
      </c>
      <c r="B40" s="79">
        <v>1</v>
      </c>
      <c r="C40" s="79">
        <v>38</v>
      </c>
    </row>
    <row r="41" spans="1:3" ht="15" customHeight="1" x14ac:dyDescent="0.25">
      <c r="A41" s="79">
        <v>1.4887300000000001</v>
      </c>
      <c r="B41" s="79">
        <v>1</v>
      </c>
      <c r="C41" s="79">
        <v>39</v>
      </c>
    </row>
    <row r="42" spans="1:3" ht="15" customHeight="1" x14ac:dyDescent="0.25">
      <c r="A42" s="79">
        <v>1.49274</v>
      </c>
      <c r="B42" s="79">
        <v>2</v>
      </c>
      <c r="C42" s="79">
        <v>40</v>
      </c>
    </row>
    <row r="43" spans="1:3" ht="15" customHeight="1" x14ac:dyDescent="0.25">
      <c r="A43" s="79">
        <v>1.5667199999999999</v>
      </c>
      <c r="B43" s="79">
        <v>1</v>
      </c>
      <c r="C43" s="79">
        <v>41</v>
      </c>
    </row>
    <row r="44" spans="1:3" ht="15" customHeight="1" x14ac:dyDescent="0.25">
      <c r="A44" s="79">
        <v>1.5833200000000001</v>
      </c>
      <c r="B44" s="79">
        <v>2</v>
      </c>
      <c r="C44" s="79">
        <v>42</v>
      </c>
    </row>
    <row r="45" spans="1:3" ht="15" customHeight="1" x14ac:dyDescent="0.25">
      <c r="A45" s="79">
        <v>1.5901099999999999</v>
      </c>
      <c r="B45" s="79">
        <v>2</v>
      </c>
      <c r="C45" s="79">
        <v>43</v>
      </c>
    </row>
    <row r="46" spans="1:3" ht="15" customHeight="1" x14ac:dyDescent="0.25">
      <c r="A46" s="79">
        <v>1.59293</v>
      </c>
      <c r="B46" s="79">
        <v>1</v>
      </c>
      <c r="C46" s="79">
        <v>44</v>
      </c>
    </row>
    <row r="47" spans="1:3" ht="15" customHeight="1" x14ac:dyDescent="0.25">
      <c r="A47" s="79">
        <v>1.6012599999999999</v>
      </c>
      <c r="B47" s="79">
        <v>1</v>
      </c>
      <c r="C47" s="79">
        <v>45</v>
      </c>
    </row>
    <row r="48" spans="1:3" ht="15" customHeight="1" x14ac:dyDescent="0.25">
      <c r="A48" s="79">
        <v>1.60833</v>
      </c>
      <c r="B48" s="79">
        <v>1</v>
      </c>
      <c r="C48" s="79">
        <v>46</v>
      </c>
    </row>
    <row r="49" spans="1:3" ht="15" customHeight="1" x14ac:dyDescent="0.25">
      <c r="A49" s="79">
        <v>1.60971</v>
      </c>
      <c r="B49" s="79">
        <v>1</v>
      </c>
      <c r="C49" s="79">
        <v>47</v>
      </c>
    </row>
    <row r="50" spans="1:3" ht="15" customHeight="1" x14ac:dyDescent="0.25">
      <c r="A50" s="79">
        <v>1.6140699999999999</v>
      </c>
      <c r="B50" s="79">
        <v>1</v>
      </c>
      <c r="C50" s="79">
        <v>48</v>
      </c>
    </row>
    <row r="51" spans="1:3" ht="15" customHeight="1" x14ac:dyDescent="0.25">
      <c r="A51" s="79">
        <v>1.6327499999999999</v>
      </c>
      <c r="B51" s="79">
        <v>1</v>
      </c>
      <c r="C51" s="79">
        <v>49</v>
      </c>
    </row>
    <row r="52" spans="1:3" ht="15" customHeight="1" x14ac:dyDescent="0.25">
      <c r="A52" s="79">
        <v>1.63781</v>
      </c>
      <c r="B52" s="79">
        <v>2</v>
      </c>
      <c r="C52" s="79">
        <v>50</v>
      </c>
    </row>
    <row r="53" spans="1:3" ht="15" customHeight="1" x14ac:dyDescent="0.25">
      <c r="A53" s="79">
        <v>1.63835</v>
      </c>
      <c r="B53" s="79">
        <v>1</v>
      </c>
      <c r="C53" s="79">
        <v>51</v>
      </c>
    </row>
    <row r="54" spans="1:3" ht="15" customHeight="1" x14ac:dyDescent="0.25">
      <c r="A54" s="79">
        <v>1.64323</v>
      </c>
      <c r="B54" s="79">
        <v>1</v>
      </c>
      <c r="C54" s="79">
        <v>52</v>
      </c>
    </row>
    <row r="55" spans="1:3" ht="15" customHeight="1" x14ac:dyDescent="0.25">
      <c r="A55" s="79">
        <v>1.6846699999999999</v>
      </c>
      <c r="B55" s="79">
        <v>1</v>
      </c>
      <c r="C55" s="79">
        <v>53</v>
      </c>
    </row>
    <row r="56" spans="1:3" ht="15" customHeight="1" x14ac:dyDescent="0.25">
      <c r="A56" s="79">
        <v>1.7030099999999999</v>
      </c>
      <c r="B56" s="79">
        <v>1</v>
      </c>
      <c r="C56" s="79">
        <v>54</v>
      </c>
    </row>
    <row r="57" spans="1:3" ht="15" customHeight="1" x14ac:dyDescent="0.25">
      <c r="A57" s="79">
        <v>1.72692</v>
      </c>
      <c r="B57" s="79">
        <v>2</v>
      </c>
      <c r="C57" s="79">
        <v>55</v>
      </c>
    </row>
    <row r="58" spans="1:3" ht="15" customHeight="1" x14ac:dyDescent="0.25">
      <c r="A58" s="79">
        <v>1.7513700000000001</v>
      </c>
      <c r="B58" s="79">
        <v>2</v>
      </c>
      <c r="C58" s="79">
        <v>56</v>
      </c>
    </row>
    <row r="59" spans="1:3" ht="15" customHeight="1" x14ac:dyDescent="0.25">
      <c r="A59" s="79">
        <v>1.7760800000000001</v>
      </c>
      <c r="B59" s="79">
        <v>1</v>
      </c>
      <c r="C59" s="79">
        <v>57</v>
      </c>
    </row>
    <row r="60" spans="1:3" ht="15" customHeight="1" x14ac:dyDescent="0.25">
      <c r="A60" s="79">
        <v>1.79559</v>
      </c>
      <c r="B60" s="79">
        <v>1</v>
      </c>
      <c r="C60" s="79">
        <v>58</v>
      </c>
    </row>
    <row r="61" spans="1:3" ht="15" customHeight="1" x14ac:dyDescent="0.25">
      <c r="A61" s="79">
        <v>1.79654</v>
      </c>
      <c r="B61" s="79">
        <v>1</v>
      </c>
      <c r="C61" s="79">
        <v>59</v>
      </c>
    </row>
    <row r="62" spans="1:3" ht="15" customHeight="1" x14ac:dyDescent="0.25">
      <c r="A62" s="79">
        <v>1.8041400000000001</v>
      </c>
      <c r="B62" s="79">
        <v>1</v>
      </c>
      <c r="C62" s="79">
        <v>60</v>
      </c>
    </row>
    <row r="63" spans="1:3" ht="15" customHeight="1" x14ac:dyDescent="0.25">
      <c r="A63" s="79">
        <v>1.80463</v>
      </c>
      <c r="B63" s="79">
        <v>1</v>
      </c>
      <c r="C63" s="79">
        <v>61</v>
      </c>
    </row>
    <row r="64" spans="1:3" ht="15" customHeight="1" x14ac:dyDescent="0.25">
      <c r="A64" s="79">
        <v>1.8061400000000001</v>
      </c>
      <c r="B64" s="79">
        <v>1</v>
      </c>
      <c r="C64" s="79">
        <v>62</v>
      </c>
    </row>
    <row r="65" spans="1:3" ht="15" customHeight="1" x14ac:dyDescent="0.25">
      <c r="A65" s="79">
        <v>1.83894</v>
      </c>
      <c r="B65" s="79">
        <v>1</v>
      </c>
      <c r="C65" s="79">
        <v>63</v>
      </c>
    </row>
    <row r="66" spans="1:3" ht="15" customHeight="1" x14ac:dyDescent="0.25">
      <c r="A66" s="79">
        <v>1.9047400000000001</v>
      </c>
      <c r="B66" s="79">
        <v>2</v>
      </c>
      <c r="C66" s="79">
        <v>64</v>
      </c>
    </row>
    <row r="67" spans="1:3" ht="15" customHeight="1" x14ac:dyDescent="0.25">
      <c r="A67" s="79">
        <v>1.91276</v>
      </c>
      <c r="B67" s="79">
        <v>2</v>
      </c>
      <c r="C67" s="79">
        <v>65</v>
      </c>
    </row>
    <row r="68" spans="1:3" ht="15" customHeight="1" x14ac:dyDescent="0.25">
      <c r="A68" s="79">
        <v>1.96417</v>
      </c>
      <c r="B68" s="79">
        <v>1</v>
      </c>
      <c r="C68" s="79">
        <v>66</v>
      </c>
    </row>
    <row r="69" spans="1:3" ht="15" customHeight="1" x14ac:dyDescent="0.25">
      <c r="A69" s="79">
        <v>1.98302</v>
      </c>
      <c r="B69" s="79">
        <v>1</v>
      </c>
      <c r="C69" s="79">
        <v>67</v>
      </c>
    </row>
    <row r="70" spans="1:3" ht="15" customHeight="1" x14ac:dyDescent="0.25">
      <c r="A70" s="79">
        <v>2.1029599999999999</v>
      </c>
      <c r="B70" s="79">
        <v>1</v>
      </c>
      <c r="C70" s="79">
        <v>68</v>
      </c>
    </row>
    <row r="71" spans="1:3" ht="15" customHeight="1" x14ac:dyDescent="0.25">
      <c r="A71" s="79">
        <v>2.1596799999999998</v>
      </c>
      <c r="B71" s="79">
        <v>1</v>
      </c>
      <c r="C71" s="79">
        <v>69</v>
      </c>
    </row>
    <row r="72" spans="1:3" ht="15" customHeight="1" x14ac:dyDescent="0.25">
      <c r="A72" s="79">
        <v>2.3263500000000001</v>
      </c>
      <c r="B72" s="79">
        <v>2</v>
      </c>
      <c r="C72" s="79">
        <v>70</v>
      </c>
    </row>
    <row r="73" spans="1:3" ht="15" customHeight="1" x14ac:dyDescent="0.25">
      <c r="A73" s="79">
        <v>2.4750100000000002</v>
      </c>
      <c r="B73" s="79">
        <v>2</v>
      </c>
      <c r="C73" s="79">
        <v>71</v>
      </c>
    </row>
    <row r="74" spans="1:3" ht="15" customHeight="1" x14ac:dyDescent="0.25">
      <c r="A74" s="79">
        <v>2.7407699999999999</v>
      </c>
      <c r="B74" s="79">
        <v>2</v>
      </c>
      <c r="C74" s="79">
        <v>72</v>
      </c>
    </row>
    <row r="75" spans="1:3" ht="15" customHeight="1" x14ac:dyDescent="0.25">
      <c r="A75" s="79">
        <v>2.7423299999999999</v>
      </c>
      <c r="B75" s="79">
        <v>2</v>
      </c>
      <c r="C75" s="79">
        <v>73</v>
      </c>
    </row>
    <row r="76" spans="1:3" ht="15" customHeight="1" x14ac:dyDescent="0.25">
      <c r="A76" s="79">
        <v>2.7600500000000001</v>
      </c>
      <c r="B76" s="79">
        <v>2</v>
      </c>
      <c r="C76" s="79">
        <v>74</v>
      </c>
    </row>
    <row r="77" spans="1:3" ht="15" customHeight="1" x14ac:dyDescent="0.25">
      <c r="A77" s="79">
        <v>2.7949199999999998</v>
      </c>
      <c r="B77" s="79">
        <v>2</v>
      </c>
      <c r="C77" s="79">
        <v>75</v>
      </c>
    </row>
    <row r="78" spans="1:3" ht="15" customHeight="1" x14ac:dyDescent="0.25">
      <c r="A78" s="79">
        <v>2.8339300000000001</v>
      </c>
      <c r="B78" s="79">
        <v>2</v>
      </c>
      <c r="C78" s="79">
        <v>76</v>
      </c>
    </row>
    <row r="79" spans="1:3" ht="15" customHeight="1" x14ac:dyDescent="0.25">
      <c r="A79" s="79">
        <v>2.8480599999999998</v>
      </c>
      <c r="B79" s="79">
        <v>1</v>
      </c>
      <c r="C79" s="79">
        <v>77</v>
      </c>
    </row>
    <row r="80" spans="1:3" ht="15" customHeight="1" x14ac:dyDescent="0.25">
      <c r="A80" s="79">
        <v>2.9357099999999998</v>
      </c>
      <c r="B80" s="79">
        <v>2</v>
      </c>
      <c r="C80" s="79">
        <v>78</v>
      </c>
    </row>
    <row r="81" spans="1:3" ht="15" customHeight="1" x14ac:dyDescent="0.25">
      <c r="A81" s="79">
        <v>2.9899100000000001</v>
      </c>
      <c r="B81" s="79">
        <v>1</v>
      </c>
      <c r="C81" s="79">
        <v>79</v>
      </c>
    </row>
    <row r="82" spans="1:3" ht="15" customHeight="1" x14ac:dyDescent="0.25">
      <c r="A82" s="79">
        <v>3.0167700000000002</v>
      </c>
      <c r="B82" s="79">
        <v>2</v>
      </c>
      <c r="C82" s="79">
        <v>80</v>
      </c>
    </row>
    <row r="83" spans="1:3" ht="15" customHeight="1" x14ac:dyDescent="0.25">
      <c r="A83" s="79">
        <v>3.0217100000000001</v>
      </c>
      <c r="B83" s="79">
        <v>2</v>
      </c>
      <c r="C83" s="79">
        <v>81</v>
      </c>
    </row>
    <row r="84" spans="1:3" ht="15" customHeight="1" x14ac:dyDescent="0.25">
      <c r="A84" s="79">
        <v>3.1695199999999999</v>
      </c>
      <c r="B84" s="79">
        <v>2</v>
      </c>
      <c r="C84" s="79">
        <v>82</v>
      </c>
    </row>
    <row r="85" spans="1:3" ht="15" customHeight="1" x14ac:dyDescent="0.25">
      <c r="A85" s="79">
        <v>3.1700400000000002</v>
      </c>
      <c r="B85" s="79">
        <v>2</v>
      </c>
      <c r="C85" s="79">
        <v>83</v>
      </c>
    </row>
    <row r="86" spans="1:3" ht="15" customHeight="1" x14ac:dyDescent="0.25">
      <c r="A86" s="79">
        <v>3.7054800000000001</v>
      </c>
      <c r="B86" s="79">
        <v>2</v>
      </c>
      <c r="C86" s="79">
        <v>84</v>
      </c>
    </row>
    <row r="87" spans="1:3" ht="15" customHeight="1" x14ac:dyDescent="0.25">
      <c r="A87" s="79">
        <v>3.7261500000000001</v>
      </c>
      <c r="B87" s="79">
        <v>2</v>
      </c>
      <c r="C87" s="79">
        <v>85</v>
      </c>
    </row>
    <row r="88" spans="1:3" ht="15" customHeight="1" x14ac:dyDescent="0.25">
      <c r="A88" s="79">
        <v>3.8111799999999998</v>
      </c>
      <c r="B88" s="79">
        <v>2</v>
      </c>
      <c r="C88" s="79">
        <v>86</v>
      </c>
    </row>
    <row r="89" spans="1:3" ht="15" customHeight="1" x14ac:dyDescent="0.25">
      <c r="A89" s="79">
        <v>3.81745</v>
      </c>
      <c r="B89" s="79">
        <v>2</v>
      </c>
      <c r="C89" s="79">
        <v>87</v>
      </c>
    </row>
    <row r="90" spans="1:3" ht="15" customHeight="1" x14ac:dyDescent="0.25">
      <c r="A90" s="79">
        <v>3.9186800000000002</v>
      </c>
      <c r="B90" s="79">
        <v>2</v>
      </c>
      <c r="C90" s="79">
        <v>88</v>
      </c>
    </row>
    <row r="91" spans="1:3" ht="15" customHeight="1" x14ac:dyDescent="0.25">
      <c r="A91" s="79">
        <v>3.99708</v>
      </c>
      <c r="B91" s="79">
        <v>2</v>
      </c>
      <c r="C91" s="79">
        <v>89</v>
      </c>
    </row>
    <row r="92" spans="1:3" ht="15" customHeight="1" x14ac:dyDescent="0.25">
      <c r="A92" s="79">
        <v>4.2461700000000002</v>
      </c>
      <c r="B92" s="79">
        <v>2</v>
      </c>
      <c r="C92" s="79">
        <v>90</v>
      </c>
    </row>
    <row r="93" spans="1:3" ht="15" customHeight="1" x14ac:dyDescent="0.25">
      <c r="A93" s="79">
        <v>4.3758400000000002</v>
      </c>
      <c r="B93" s="79">
        <v>2</v>
      </c>
      <c r="C93" s="79">
        <v>91</v>
      </c>
    </row>
    <row r="94" spans="1:3" ht="15" customHeight="1" x14ac:dyDescent="0.25">
      <c r="A94" s="79">
        <v>4.6064499999999997</v>
      </c>
      <c r="B94" s="79">
        <v>2</v>
      </c>
      <c r="C94" s="79">
        <v>92</v>
      </c>
    </row>
    <row r="95" spans="1:3" ht="15" customHeight="1" x14ac:dyDescent="0.25">
      <c r="A95" s="79">
        <v>4.6470500000000001</v>
      </c>
      <c r="B95" s="79">
        <v>2</v>
      </c>
      <c r="C95" s="79">
        <v>93</v>
      </c>
    </row>
    <row r="96" spans="1:3" ht="15" customHeight="1" x14ac:dyDescent="0.25">
      <c r="A96" s="79">
        <v>5.0537799999999997</v>
      </c>
      <c r="B96" s="79">
        <v>2</v>
      </c>
      <c r="C96" s="79">
        <v>94</v>
      </c>
    </row>
    <row r="97" spans="1:3" ht="15" customHeight="1" x14ac:dyDescent="0.25">
      <c r="A97" s="79">
        <v>5.10623</v>
      </c>
      <c r="B97" s="79">
        <v>2</v>
      </c>
      <c r="C97" s="79">
        <v>95</v>
      </c>
    </row>
    <row r="98" spans="1:3" ht="15" customHeight="1" x14ac:dyDescent="0.25">
      <c r="A98" s="79">
        <v>5.1539200000000003</v>
      </c>
      <c r="B98" s="79">
        <v>2</v>
      </c>
      <c r="C98" s="79">
        <v>96</v>
      </c>
    </row>
    <row r="99" spans="1:3" ht="15" customHeight="1" x14ac:dyDescent="0.25">
      <c r="A99" s="79">
        <v>5.2593199999999998</v>
      </c>
      <c r="B99" s="79">
        <v>2</v>
      </c>
      <c r="C99" s="79">
        <v>97</v>
      </c>
    </row>
    <row r="100" spans="1:3" ht="15" customHeight="1" x14ac:dyDescent="0.25">
      <c r="A100" s="79">
        <v>5.4249200000000002</v>
      </c>
      <c r="B100" s="79">
        <v>2</v>
      </c>
      <c r="C100" s="79">
        <v>98</v>
      </c>
    </row>
    <row r="101" spans="1:3" ht="15" customHeight="1" x14ac:dyDescent="0.25">
      <c r="A101" s="79">
        <v>5.4681600000000001</v>
      </c>
      <c r="B101" s="79">
        <v>2</v>
      </c>
      <c r="C101" s="79">
        <v>99</v>
      </c>
    </row>
    <row r="102" spans="1:3" ht="15" customHeight="1" x14ac:dyDescent="0.25">
      <c r="A102" s="79">
        <v>6.4695099999999996</v>
      </c>
      <c r="B102" s="79">
        <v>2</v>
      </c>
      <c r="C102" s="79">
        <v>100</v>
      </c>
    </row>
  </sheetData>
  <sortState xmlns:xlrd2="http://schemas.microsoft.com/office/spreadsheetml/2017/richdata2" ref="A3:B103">
    <sortCondition ref="A2:A103"/>
  </sortState>
  <mergeCells count="12">
    <mergeCell ref="M7:M8"/>
    <mergeCell ref="E11:G12"/>
    <mergeCell ref="L11:N12"/>
    <mergeCell ref="A1:A2"/>
    <mergeCell ref="B1:B2"/>
    <mergeCell ref="C1:C2"/>
    <mergeCell ref="H7:H8"/>
    <mergeCell ref="I7:I8"/>
    <mergeCell ref="N7:N8"/>
    <mergeCell ref="J7:J8"/>
    <mergeCell ref="K7:K8"/>
    <mergeCell ref="L7:L8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2D76-3A8F-4FF4-B058-3B4B76E70F4E}">
  <sheetPr>
    <tabColor rgb="FF9F9FE3"/>
  </sheetPr>
  <dimension ref="A1:AD54"/>
  <sheetViews>
    <sheetView tabSelected="1" zoomScale="80" zoomScaleNormal="55" workbookViewId="0">
      <selection activeCell="AA18" sqref="AA18"/>
    </sheetView>
  </sheetViews>
  <sheetFormatPr defaultColWidth="9.140625" defaultRowHeight="15" x14ac:dyDescent="0.25"/>
  <cols>
    <col min="1" max="9" width="9.140625" style="1"/>
    <col min="10" max="10" width="13.42578125" style="82" customWidth="1"/>
    <col min="11" max="12" width="9.140625" style="1"/>
    <col min="13" max="13" width="13.42578125" style="1" customWidth="1"/>
    <col min="14" max="21" width="9.140625" style="1"/>
    <col min="22" max="22" width="17.5703125" style="1" customWidth="1"/>
    <col min="23" max="23" width="17.7109375" style="1" customWidth="1"/>
    <col min="24" max="24" width="10.7109375" style="1" customWidth="1"/>
    <col min="25" max="25" width="9.140625" style="1"/>
    <col min="26" max="26" width="13.140625" style="1" customWidth="1"/>
    <col min="27" max="27" width="12.85546875" style="1" customWidth="1"/>
    <col min="28" max="28" width="18" style="1" customWidth="1"/>
    <col min="29" max="29" width="11.42578125" style="1" customWidth="1"/>
    <col min="30" max="16384" width="9.140625" style="1"/>
  </cols>
  <sheetData>
    <row r="1" spans="1:29" ht="15" customHeight="1" x14ac:dyDescent="0.25">
      <c r="A1" s="121" t="s">
        <v>95</v>
      </c>
      <c r="B1" s="121"/>
      <c r="C1" s="121"/>
      <c r="D1" s="121"/>
    </row>
    <row r="2" spans="1:29" ht="15" customHeight="1" x14ac:dyDescent="0.25">
      <c r="A2" s="121"/>
      <c r="B2" s="121"/>
      <c r="C2" s="121"/>
      <c r="D2" s="121"/>
    </row>
    <row r="3" spans="1:29" ht="14.45" customHeight="1" x14ac:dyDescent="0.25">
      <c r="A3" s="82"/>
      <c r="B3" s="82"/>
      <c r="C3" s="82"/>
      <c r="D3" s="81"/>
      <c r="T3" s="111" t="s">
        <v>88</v>
      </c>
      <c r="U3" s="111" t="s">
        <v>89</v>
      </c>
      <c r="V3" s="111" t="s">
        <v>100</v>
      </c>
      <c r="W3" s="111" t="s">
        <v>101</v>
      </c>
      <c r="X3" s="111" t="s">
        <v>99</v>
      </c>
      <c r="Z3" s="134" t="s">
        <v>102</v>
      </c>
      <c r="AA3" s="135"/>
    </row>
    <row r="4" spans="1:29" x14ac:dyDescent="0.25">
      <c r="A4" s="63" t="s">
        <v>0</v>
      </c>
      <c r="B4" s="63" t="s">
        <v>1</v>
      </c>
      <c r="E4" s="63" t="s">
        <v>88</v>
      </c>
      <c r="F4" s="63" t="s">
        <v>89</v>
      </c>
      <c r="G4" s="63"/>
      <c r="H4" s="63"/>
      <c r="J4" s="126" t="s">
        <v>90</v>
      </c>
      <c r="K4" s="124">
        <f>CORREL(A5:A54,B5:B54)</f>
        <v>5.4663471967464496E-2</v>
      </c>
      <c r="L4" s="73"/>
      <c r="M4" s="73"/>
      <c r="N4" s="73"/>
      <c r="O4" s="73"/>
      <c r="P4" s="73"/>
      <c r="Q4" s="73"/>
      <c r="T4" s="111"/>
      <c r="U4" s="111"/>
      <c r="V4" s="111"/>
      <c r="W4" s="111"/>
      <c r="X4" s="111"/>
      <c r="Z4" s="136"/>
      <c r="AA4" s="137"/>
    </row>
    <row r="5" spans="1:29" x14ac:dyDescent="0.25">
      <c r="A5" s="79">
        <v>1.1511100000000001</v>
      </c>
      <c r="B5" s="79">
        <v>3.0167700000000002</v>
      </c>
      <c r="E5" s="67">
        <f>_xlfn.RANK.AVG(A5,$A$5:$A$54,1)</f>
        <v>8</v>
      </c>
      <c r="F5" s="67">
        <f>_xlfn.RANK.AVG(B5,$B$5:$B$54,1)</f>
        <v>30</v>
      </c>
      <c r="G5" s="67">
        <f t="shared" ref="G5:G36" si="0">E5-F5</f>
        <v>-22</v>
      </c>
      <c r="H5" s="67">
        <f>G5^2</f>
        <v>484</v>
      </c>
      <c r="J5" s="127"/>
      <c r="K5" s="125"/>
      <c r="L5" s="73"/>
      <c r="M5" s="73"/>
      <c r="N5" s="73"/>
      <c r="O5" s="73"/>
      <c r="P5" s="73"/>
      <c r="Q5" s="73"/>
      <c r="T5" s="67">
        <v>1</v>
      </c>
      <c r="U5" s="67">
        <v>5</v>
      </c>
      <c r="V5" s="67">
        <f>COUNTIF(U5:$U$54,"&gt;"&amp;U5)</f>
        <v>45</v>
      </c>
      <c r="W5" s="67">
        <f>COUNTIF(U5:$U$54,"&lt;"&amp;U5)</f>
        <v>4</v>
      </c>
      <c r="X5" s="67">
        <f>V5-W5</f>
        <v>41</v>
      </c>
      <c r="Z5" s="63" t="s">
        <v>98</v>
      </c>
      <c r="AA5" s="67">
        <f>SUM(X5:X54)/(0.5*K11*(K11-1))</f>
        <v>-8.979591836734694E-3</v>
      </c>
    </row>
    <row r="6" spans="1:29" ht="14.1" customHeight="1" x14ac:dyDescent="0.25">
      <c r="A6" s="79">
        <v>1.79654</v>
      </c>
      <c r="B6" s="79">
        <v>-0.17352000000000001</v>
      </c>
      <c r="E6" s="67">
        <f t="shared" ref="E5:E36" si="1">_xlfn.RANK.AVG(A6,$A$5:$A$54,1)</f>
        <v>40</v>
      </c>
      <c r="F6" s="67">
        <f t="shared" ref="F5:F36" si="2">_xlfn.RANK.AVG(B6,$B$5:$B$54,1)</f>
        <v>6</v>
      </c>
      <c r="G6" s="67">
        <f t="shared" si="0"/>
        <v>34</v>
      </c>
      <c r="H6" s="67">
        <f>G6^2</f>
        <v>1156</v>
      </c>
      <c r="K6" s="73"/>
      <c r="L6" s="73"/>
      <c r="M6" s="73"/>
      <c r="N6" s="73"/>
      <c r="O6" s="73"/>
      <c r="P6" s="73"/>
      <c r="Q6" s="73"/>
      <c r="T6" s="67">
        <v>2</v>
      </c>
      <c r="U6" s="67">
        <v>19</v>
      </c>
      <c r="V6" s="67">
        <f>COUNTIF(U6:$U$54,"&gt;"&amp;U6)</f>
        <v>31</v>
      </c>
      <c r="W6" s="67">
        <f>COUNTIF(U6:$U$54,"&lt;"&amp;U6)</f>
        <v>17</v>
      </c>
      <c r="X6" s="67">
        <f t="shared" ref="X5:X36" si="3">V6-W6</f>
        <v>14</v>
      </c>
    </row>
    <row r="7" spans="1:29" x14ac:dyDescent="0.25">
      <c r="A7" s="66">
        <v>2.8480599999999998</v>
      </c>
      <c r="B7" s="79">
        <v>3.1695199999999999</v>
      </c>
      <c r="E7" s="67">
        <f t="shared" si="1"/>
        <v>49</v>
      </c>
      <c r="F7" s="67">
        <f t="shared" si="2"/>
        <v>32</v>
      </c>
      <c r="G7" s="67">
        <f t="shared" si="0"/>
        <v>17</v>
      </c>
      <c r="H7" s="67">
        <f t="shared" ref="H5:H36" si="4">G7^2</f>
        <v>289</v>
      </c>
      <c r="J7" s="126" t="s">
        <v>91</v>
      </c>
      <c r="K7" s="142"/>
      <c r="L7" s="143"/>
      <c r="M7" s="143"/>
      <c r="N7" s="143"/>
      <c r="O7" s="143"/>
      <c r="P7" s="143"/>
      <c r="Q7" s="144"/>
      <c r="T7" s="67">
        <v>3</v>
      </c>
      <c r="U7" s="67">
        <v>29</v>
      </c>
      <c r="V7" s="67">
        <f>COUNTIF(U7:$U$54,"&gt;"&amp;U7)</f>
        <v>21</v>
      </c>
      <c r="W7" s="67">
        <f>COUNTIF(U7:$U$54,"&lt;"&amp;U7)</f>
        <v>26</v>
      </c>
      <c r="X7" s="67">
        <f t="shared" si="3"/>
        <v>-5</v>
      </c>
    </row>
    <row r="8" spans="1:29" ht="14.1" customHeight="1" x14ac:dyDescent="0.25">
      <c r="A8" s="79">
        <v>1.6140699999999999</v>
      </c>
      <c r="B8" s="79">
        <v>2.3263500000000001</v>
      </c>
      <c r="E8" s="67">
        <f t="shared" si="1"/>
        <v>32</v>
      </c>
      <c r="F8" s="67">
        <f t="shared" si="2"/>
        <v>22</v>
      </c>
      <c r="G8" s="67">
        <f t="shared" si="0"/>
        <v>10</v>
      </c>
      <c r="H8" s="67">
        <f t="shared" si="4"/>
        <v>100</v>
      </c>
      <c r="J8" s="141"/>
      <c r="K8" s="145"/>
      <c r="L8" s="146"/>
      <c r="M8" s="146"/>
      <c r="N8" s="146"/>
      <c r="O8" s="146"/>
      <c r="P8" s="146"/>
      <c r="Q8" s="147"/>
      <c r="T8" s="67">
        <v>4</v>
      </c>
      <c r="U8" s="67">
        <v>24</v>
      </c>
      <c r="V8" s="67">
        <f>COUNTIF(U8:$U$54,"&gt;"&amp;U8)</f>
        <v>25</v>
      </c>
      <c r="W8" s="67">
        <f>COUNTIF(U8:$U$54,"&lt;"&amp;U8)</f>
        <v>21</v>
      </c>
      <c r="X8" s="67">
        <f t="shared" si="3"/>
        <v>4</v>
      </c>
      <c r="Z8" s="134" t="s">
        <v>92</v>
      </c>
      <c r="AA8" s="138"/>
      <c r="AB8" s="135"/>
    </row>
    <row r="9" spans="1:29" x14ac:dyDescent="0.25">
      <c r="A9" s="79">
        <v>1.31524</v>
      </c>
      <c r="B9" s="79">
        <v>1.91276</v>
      </c>
      <c r="E9" s="67">
        <f t="shared" si="1"/>
        <v>16</v>
      </c>
      <c r="F9" s="67">
        <f t="shared" si="2"/>
        <v>21</v>
      </c>
      <c r="G9" s="67">
        <f t="shared" si="0"/>
        <v>-5</v>
      </c>
      <c r="H9" s="67">
        <f t="shared" si="4"/>
        <v>25</v>
      </c>
      <c r="J9" s="127"/>
      <c r="K9" s="148"/>
      <c r="L9" s="149"/>
      <c r="M9" s="149"/>
      <c r="N9" s="149"/>
      <c r="O9" s="149"/>
      <c r="P9" s="149"/>
      <c r="Q9" s="150"/>
      <c r="T9" s="67">
        <v>5</v>
      </c>
      <c r="U9" s="67">
        <v>38</v>
      </c>
      <c r="V9" s="67">
        <f>COUNTIF(U9:$U$54,"&gt;"&amp;U9)</f>
        <v>12</v>
      </c>
      <c r="W9" s="67">
        <f>COUNTIF(U9:$U$54,"&lt;"&amp;U9)</f>
        <v>33</v>
      </c>
      <c r="X9" s="67">
        <f t="shared" si="3"/>
        <v>-21</v>
      </c>
      <c r="Z9" s="136"/>
      <c r="AA9" s="139"/>
      <c r="AB9" s="137"/>
    </row>
    <row r="10" spans="1:29" x14ac:dyDescent="0.25">
      <c r="A10" s="79">
        <v>1.0032000000000001</v>
      </c>
      <c r="B10" s="79">
        <v>-0.43187900000000001</v>
      </c>
      <c r="E10" s="67">
        <f t="shared" si="1"/>
        <v>1</v>
      </c>
      <c r="F10" s="67">
        <f t="shared" si="2"/>
        <v>5</v>
      </c>
      <c r="G10" s="67">
        <f t="shared" si="0"/>
        <v>-4</v>
      </c>
      <c r="H10" s="67">
        <f t="shared" si="4"/>
        <v>16</v>
      </c>
      <c r="K10" s="73"/>
      <c r="L10" s="73"/>
      <c r="M10" s="73"/>
      <c r="N10" s="73"/>
      <c r="O10" s="73"/>
      <c r="P10" s="73"/>
      <c r="Q10" s="73"/>
      <c r="T10" s="67">
        <v>6</v>
      </c>
      <c r="U10" s="67">
        <v>41</v>
      </c>
      <c r="V10" s="67">
        <f>COUNTIF(U10:$U$54,"&gt;"&amp;U10)</f>
        <v>9</v>
      </c>
      <c r="W10" s="67">
        <f>COUNTIF(U10:$U$54,"&lt;"&amp;U10)</f>
        <v>35</v>
      </c>
      <c r="X10" s="67">
        <f t="shared" si="3"/>
        <v>-26</v>
      </c>
    </row>
    <row r="11" spans="1:29" x14ac:dyDescent="0.25">
      <c r="A11" s="79">
        <v>1.0710900000000001</v>
      </c>
      <c r="B11" s="79">
        <v>3.9186800000000002</v>
      </c>
      <c r="E11" s="67">
        <f t="shared" si="1"/>
        <v>5</v>
      </c>
      <c r="F11" s="67">
        <f t="shared" si="2"/>
        <v>38</v>
      </c>
      <c r="G11" s="67">
        <f t="shared" si="0"/>
        <v>-33</v>
      </c>
      <c r="H11" s="67">
        <f t="shared" si="4"/>
        <v>1089</v>
      </c>
      <c r="J11" s="126" t="s">
        <v>29</v>
      </c>
      <c r="K11" s="124">
        <v>50</v>
      </c>
      <c r="L11" s="73"/>
      <c r="M11" s="73"/>
      <c r="N11" s="73"/>
      <c r="O11" s="73"/>
      <c r="P11" s="73"/>
      <c r="Q11" s="73"/>
      <c r="T11" s="67">
        <v>7</v>
      </c>
      <c r="U11" s="67">
        <v>50</v>
      </c>
      <c r="V11" s="67">
        <f>COUNTIF(U11:$U$54,"&gt;"&amp;U11)</f>
        <v>0</v>
      </c>
      <c r="W11" s="67">
        <f>COUNTIF(U11:$U$54,"&lt;"&amp;U11)</f>
        <v>43</v>
      </c>
      <c r="X11" s="67">
        <f t="shared" si="3"/>
        <v>-43</v>
      </c>
    </row>
    <row r="12" spans="1:29" x14ac:dyDescent="0.25">
      <c r="A12" s="79">
        <v>1.0472900000000001</v>
      </c>
      <c r="B12" s="79">
        <v>2.7407699999999999</v>
      </c>
      <c r="E12" s="67">
        <f t="shared" si="1"/>
        <v>4</v>
      </c>
      <c r="F12" s="67">
        <f t="shared" si="2"/>
        <v>24</v>
      </c>
      <c r="G12" s="67">
        <f t="shared" si="0"/>
        <v>-20</v>
      </c>
      <c r="H12" s="67">
        <f t="shared" si="4"/>
        <v>400</v>
      </c>
      <c r="J12" s="127"/>
      <c r="K12" s="125"/>
      <c r="L12" s="73"/>
      <c r="M12" s="73"/>
      <c r="N12" s="73"/>
      <c r="O12" s="73"/>
      <c r="P12" s="73"/>
      <c r="Q12" s="73"/>
      <c r="T12" s="67">
        <v>8</v>
      </c>
      <c r="U12" s="67">
        <v>30</v>
      </c>
      <c r="V12" s="67">
        <f>COUNTIF(U12:$U$54,"&gt;"&amp;U12)</f>
        <v>17</v>
      </c>
      <c r="W12" s="67">
        <f>COUNTIF(U12:$U$54,"&lt;"&amp;U12)</f>
        <v>25</v>
      </c>
      <c r="X12" s="67">
        <f t="shared" si="3"/>
        <v>-8</v>
      </c>
    </row>
    <row r="13" spans="1:29" ht="14.1" customHeight="1" x14ac:dyDescent="0.25">
      <c r="A13" s="79">
        <v>1.4408700000000001</v>
      </c>
      <c r="B13" s="79">
        <v>5.4681600000000001</v>
      </c>
      <c r="E13" s="67">
        <f t="shared" si="1"/>
        <v>23</v>
      </c>
      <c r="F13" s="67">
        <f t="shared" si="2"/>
        <v>49</v>
      </c>
      <c r="G13" s="67">
        <f t="shared" si="0"/>
        <v>-26</v>
      </c>
      <c r="H13" s="67">
        <f t="shared" si="4"/>
        <v>676</v>
      </c>
      <c r="K13" s="73"/>
      <c r="L13" s="73"/>
      <c r="M13" s="73"/>
      <c r="N13" s="73"/>
      <c r="O13" s="73"/>
      <c r="P13" s="73"/>
      <c r="Q13" s="73"/>
      <c r="T13" s="67">
        <v>9</v>
      </c>
      <c r="U13" s="67">
        <v>47</v>
      </c>
      <c r="V13" s="67">
        <f>COUNTIF(U13:$U$54,"&gt;"&amp;U13)</f>
        <v>2</v>
      </c>
      <c r="W13" s="67">
        <f>COUNTIF(U13:$U$54,"&lt;"&amp;U13)</f>
        <v>39</v>
      </c>
      <c r="X13" s="67">
        <f t="shared" si="3"/>
        <v>-37</v>
      </c>
    </row>
    <row r="14" spans="1:29" x14ac:dyDescent="0.25">
      <c r="A14" s="66">
        <v>2.1596799999999998</v>
      </c>
      <c r="B14" s="79">
        <v>5.1539200000000003</v>
      </c>
      <c r="E14" s="67">
        <f t="shared" si="1"/>
        <v>48</v>
      </c>
      <c r="F14" s="67">
        <f t="shared" si="2"/>
        <v>46</v>
      </c>
      <c r="G14" s="67">
        <f t="shared" si="0"/>
        <v>2</v>
      </c>
      <c r="H14" s="67">
        <f t="shared" si="4"/>
        <v>4</v>
      </c>
      <c r="J14" s="126"/>
      <c r="K14" s="124">
        <f>SUM(H5:H54)</f>
        <v>21054</v>
      </c>
      <c r="L14" s="73"/>
      <c r="M14" s="73"/>
      <c r="N14" s="73"/>
      <c r="O14" s="73"/>
      <c r="P14" s="73"/>
      <c r="Q14" s="73"/>
      <c r="T14" s="67">
        <v>10</v>
      </c>
      <c r="U14" s="67">
        <v>2</v>
      </c>
      <c r="V14" s="67">
        <f>COUNTIF(U14:$U$54,"&gt;"&amp;U14)</f>
        <v>39</v>
      </c>
      <c r="W14" s="67">
        <f>COUNTIF(U14:$U$54,"&lt;"&amp;U14)</f>
        <v>1</v>
      </c>
      <c r="X14" s="67">
        <f t="shared" si="3"/>
        <v>38</v>
      </c>
      <c r="Z14" s="63" t="s">
        <v>94</v>
      </c>
      <c r="AA14" s="68">
        <f>SQRT((2*(2*K11+5))/(9*K11*(K11-1)))</f>
        <v>9.7590007294853329E-2</v>
      </c>
    </row>
    <row r="15" spans="1:29" x14ac:dyDescent="0.25">
      <c r="A15" s="79">
        <v>1.98302</v>
      </c>
      <c r="B15" s="79">
        <v>1.16337</v>
      </c>
      <c r="E15" s="67">
        <f t="shared" si="1"/>
        <v>46</v>
      </c>
      <c r="F15" s="67">
        <f t="shared" si="2"/>
        <v>12</v>
      </c>
      <c r="G15" s="67">
        <f t="shared" si="0"/>
        <v>34</v>
      </c>
      <c r="H15" s="67">
        <f t="shared" si="4"/>
        <v>1156</v>
      </c>
      <c r="J15" s="127"/>
      <c r="K15" s="125"/>
      <c r="L15" s="73"/>
      <c r="M15" s="73"/>
      <c r="N15" s="73"/>
      <c r="O15" s="73"/>
      <c r="P15" s="73"/>
      <c r="Q15" s="73"/>
      <c r="T15" s="67">
        <v>11</v>
      </c>
      <c r="U15" s="67">
        <v>26</v>
      </c>
      <c r="V15" s="67">
        <f>COUNTIF(U15:$U$54,"&gt;"&amp;U15)</f>
        <v>18</v>
      </c>
      <c r="W15" s="67">
        <f>COUNTIF(U15:$U$54,"&lt;"&amp;U15)</f>
        <v>21</v>
      </c>
      <c r="X15" s="67">
        <f t="shared" si="3"/>
        <v>-3</v>
      </c>
      <c r="Z15" s="63" t="s">
        <v>27</v>
      </c>
      <c r="AA15" s="68">
        <v>0.1</v>
      </c>
    </row>
    <row r="16" spans="1:29" x14ac:dyDescent="0.25">
      <c r="A16" s="79">
        <v>1.8041400000000001</v>
      </c>
      <c r="B16" s="79">
        <v>2.7423299999999999</v>
      </c>
      <c r="E16" s="67">
        <f t="shared" si="1"/>
        <v>41</v>
      </c>
      <c r="F16" s="67">
        <f t="shared" si="2"/>
        <v>25</v>
      </c>
      <c r="G16" s="67">
        <f t="shared" si="0"/>
        <v>16</v>
      </c>
      <c r="H16" s="67">
        <f t="shared" si="4"/>
        <v>256</v>
      </c>
      <c r="K16" s="73"/>
      <c r="L16" s="73"/>
      <c r="M16" s="73"/>
      <c r="N16" s="73"/>
      <c r="O16" s="73"/>
      <c r="P16" s="73"/>
      <c r="Q16" s="73"/>
      <c r="T16" s="67">
        <v>12</v>
      </c>
      <c r="U16" s="67">
        <v>33</v>
      </c>
      <c r="V16" s="67">
        <f>COUNTIF(U16:$U$54,"&gt;"&amp;U16)</f>
        <v>13</v>
      </c>
      <c r="W16" s="67">
        <f>COUNTIF(U16:$U$54,"&lt;"&amp;U16)</f>
        <v>25</v>
      </c>
      <c r="X16" s="67">
        <f t="shared" si="3"/>
        <v>-12</v>
      </c>
      <c r="Z16" s="111" t="s">
        <v>58</v>
      </c>
      <c r="AA16" s="103">
        <f>_xlfn.NORM.INV(1-AA15,0,AA14)</f>
        <v>0.12506662663022827</v>
      </c>
      <c r="AC16" s="1">
        <f>_xlfn.NORM.S.INV(0.9)</f>
        <v>1.2815515655446006</v>
      </c>
    </row>
    <row r="17" spans="1:30" x14ac:dyDescent="0.25">
      <c r="A17" s="79">
        <v>1.60971</v>
      </c>
      <c r="B17" s="79">
        <v>-3.0000000000000001E-3</v>
      </c>
      <c r="E17" s="67">
        <f t="shared" si="1"/>
        <v>31</v>
      </c>
      <c r="F17" s="67">
        <f t="shared" si="2"/>
        <v>8</v>
      </c>
      <c r="G17" s="67">
        <f t="shared" si="0"/>
        <v>23</v>
      </c>
      <c r="H17" s="67">
        <f t="shared" si="4"/>
        <v>529</v>
      </c>
      <c r="J17" s="83"/>
      <c r="K17" s="93">
        <f>1-(6*K14)/(K11*(K11^2-1))</f>
        <v>-1.0996398559423692E-2</v>
      </c>
      <c r="L17" s="73"/>
      <c r="M17" s="73"/>
      <c r="N17" s="73"/>
      <c r="O17" s="73"/>
      <c r="P17" s="73"/>
      <c r="Q17" s="73"/>
      <c r="T17" s="67">
        <v>13</v>
      </c>
      <c r="U17" s="67">
        <v>1</v>
      </c>
      <c r="V17" s="67">
        <f>COUNTIF(U17:$U$54,"&gt;"&amp;U17)</f>
        <v>37</v>
      </c>
      <c r="W17" s="67">
        <f>COUNTIF(U17:$U$54,"&lt;"&amp;U17)</f>
        <v>0</v>
      </c>
      <c r="X17" s="67">
        <f t="shared" si="3"/>
        <v>37</v>
      </c>
      <c r="Z17" s="111"/>
      <c r="AA17" s="103"/>
      <c r="AC17" s="1">
        <f>AA5/AA14</f>
        <v>-9.201343544943312E-2</v>
      </c>
    </row>
    <row r="18" spans="1:30" x14ac:dyDescent="0.25">
      <c r="A18" s="79">
        <v>1.35405</v>
      </c>
      <c r="B18" s="79">
        <v>1.63781</v>
      </c>
      <c r="E18" s="67">
        <f t="shared" si="1"/>
        <v>18</v>
      </c>
      <c r="F18" s="67">
        <f t="shared" si="2"/>
        <v>17</v>
      </c>
      <c r="G18" s="67">
        <f t="shared" si="0"/>
        <v>1</v>
      </c>
      <c r="H18" s="67">
        <f t="shared" si="4"/>
        <v>1</v>
      </c>
      <c r="J18" s="83"/>
      <c r="K18" s="68">
        <f>ABS(K17)</f>
        <v>1.0996398559423692E-2</v>
      </c>
      <c r="L18" s="73"/>
      <c r="M18" s="73"/>
      <c r="N18" s="73"/>
      <c r="O18" s="73"/>
      <c r="P18" s="73"/>
      <c r="Q18" s="73"/>
      <c r="T18" s="67">
        <v>14</v>
      </c>
      <c r="U18" s="67">
        <v>18</v>
      </c>
      <c r="V18" s="67">
        <f>COUNTIF(U18:$U$54,"&gt;"&amp;U18)</f>
        <v>22</v>
      </c>
      <c r="W18" s="67">
        <f>COUNTIF(U18:$U$54,"&lt;"&amp;U18)</f>
        <v>14</v>
      </c>
      <c r="X18" s="67">
        <f t="shared" si="3"/>
        <v>8</v>
      </c>
    </row>
    <row r="19" spans="1:30" ht="14.1" customHeight="1" x14ac:dyDescent="0.25">
      <c r="A19" s="79">
        <v>1.43868</v>
      </c>
      <c r="B19" s="79">
        <v>3.81745</v>
      </c>
      <c r="E19" s="67">
        <f t="shared" si="1"/>
        <v>22</v>
      </c>
      <c r="F19" s="67">
        <f t="shared" si="2"/>
        <v>37</v>
      </c>
      <c r="G19" s="67">
        <f t="shared" si="0"/>
        <v>-15</v>
      </c>
      <c r="H19" s="67">
        <f t="shared" si="4"/>
        <v>225</v>
      </c>
      <c r="T19" s="67">
        <v>15</v>
      </c>
      <c r="U19" s="67">
        <v>3</v>
      </c>
      <c r="V19" s="67">
        <f>COUNTIF(U19:$U$54,"&gt;"&amp;U19)</f>
        <v>35</v>
      </c>
      <c r="W19" s="67">
        <f>COUNTIF(U19:$U$54,"&lt;"&amp;U19)</f>
        <v>0</v>
      </c>
      <c r="X19" s="67">
        <f t="shared" si="3"/>
        <v>35</v>
      </c>
      <c r="Z19" s="111" t="s">
        <v>97</v>
      </c>
      <c r="AA19" s="111"/>
      <c r="AB19" s="111" t="str">
        <f>IF(AA5&lt;AA16, "да; гипотеза не противоречит опытным данным.", "нет, гипотеза противоречит опытным данным.")</f>
        <v>да; гипотеза не противоречит опытным данным.</v>
      </c>
      <c r="AC19" s="111"/>
      <c r="AD19" s="111"/>
    </row>
    <row r="20" spans="1:30" ht="15.75" x14ac:dyDescent="0.25">
      <c r="A20" s="79">
        <v>1.79559</v>
      </c>
      <c r="B20" s="79">
        <v>4.2461700000000002</v>
      </c>
      <c r="E20" s="67">
        <f t="shared" si="1"/>
        <v>39</v>
      </c>
      <c r="F20" s="67">
        <f t="shared" si="2"/>
        <v>40</v>
      </c>
      <c r="G20" s="67">
        <f t="shared" si="0"/>
        <v>-1</v>
      </c>
      <c r="H20" s="67">
        <f t="shared" si="4"/>
        <v>1</v>
      </c>
      <c r="J20" s="151" t="s">
        <v>93</v>
      </c>
      <c r="K20" s="152"/>
      <c r="T20" s="67">
        <v>16</v>
      </c>
      <c r="U20" s="67">
        <v>21</v>
      </c>
      <c r="V20" s="67">
        <f>COUNTIF(U20:$U$54,"&gt;"&amp;U20)</f>
        <v>20</v>
      </c>
      <c r="W20" s="67">
        <f>COUNTIF(U20:$U$54,"&lt;"&amp;U20)</f>
        <v>14</v>
      </c>
      <c r="X20" s="67">
        <f t="shared" si="3"/>
        <v>6</v>
      </c>
      <c r="Z20" s="111"/>
      <c r="AA20" s="111"/>
      <c r="AB20" s="111"/>
      <c r="AC20" s="111"/>
      <c r="AD20" s="111"/>
    </row>
    <row r="21" spans="1:30" x14ac:dyDescent="0.25">
      <c r="A21" s="79">
        <v>1.09911</v>
      </c>
      <c r="B21" s="79">
        <v>4.3758400000000002</v>
      </c>
      <c r="E21" s="67">
        <f t="shared" si="1"/>
        <v>6</v>
      </c>
      <c r="F21" s="67">
        <f t="shared" si="2"/>
        <v>41</v>
      </c>
      <c r="G21" s="67">
        <f t="shared" si="0"/>
        <v>-35</v>
      </c>
      <c r="H21" s="67">
        <f t="shared" si="4"/>
        <v>1225</v>
      </c>
      <c r="J21" s="128"/>
      <c r="K21" s="129"/>
      <c r="L21" s="129"/>
      <c r="M21" s="129"/>
      <c r="N21" s="129"/>
      <c r="O21" s="129"/>
      <c r="P21" s="129"/>
      <c r="Q21" s="130"/>
      <c r="T21" s="67">
        <v>17</v>
      </c>
      <c r="U21" s="67">
        <v>9</v>
      </c>
      <c r="V21" s="67">
        <f>COUNTIF(U21:$U$54,"&gt;"&amp;U21)</f>
        <v>29</v>
      </c>
      <c r="W21" s="67">
        <f>COUNTIF(U21:$U$54,"&lt;"&amp;U21)</f>
        <v>4</v>
      </c>
      <c r="X21" s="67">
        <f t="shared" si="3"/>
        <v>25</v>
      </c>
      <c r="Z21" s="111"/>
      <c r="AA21" s="111"/>
      <c r="AB21" s="111"/>
      <c r="AC21" s="111"/>
      <c r="AD21" s="111"/>
    </row>
    <row r="22" spans="1:30" x14ac:dyDescent="0.25">
      <c r="A22" s="79">
        <v>1.4523900000000001</v>
      </c>
      <c r="B22" s="79">
        <v>5.0537799999999997</v>
      </c>
      <c r="E22" s="67">
        <f t="shared" si="1"/>
        <v>24</v>
      </c>
      <c r="F22" s="67">
        <f t="shared" si="2"/>
        <v>44</v>
      </c>
      <c r="G22" s="67">
        <f t="shared" si="0"/>
        <v>-20</v>
      </c>
      <c r="H22" s="67">
        <f t="shared" si="4"/>
        <v>400</v>
      </c>
      <c r="J22" s="131"/>
      <c r="K22" s="132"/>
      <c r="L22" s="132"/>
      <c r="M22" s="132"/>
      <c r="N22" s="132"/>
      <c r="O22" s="132"/>
      <c r="P22" s="132"/>
      <c r="Q22" s="133"/>
      <c r="T22" s="67">
        <v>18</v>
      </c>
      <c r="U22" s="67">
        <v>17</v>
      </c>
      <c r="V22" s="67">
        <f>COUNTIF(U22:$U$54,"&gt;"&amp;U22)</f>
        <v>21</v>
      </c>
      <c r="W22" s="67">
        <f>COUNTIF(U22:$U$54,"&lt;"&amp;U22)</f>
        <v>11</v>
      </c>
      <c r="X22" s="67">
        <f t="shared" si="3"/>
        <v>10</v>
      </c>
    </row>
    <row r="23" spans="1:30" x14ac:dyDescent="0.25">
      <c r="A23" s="79">
        <v>1.43075</v>
      </c>
      <c r="B23" s="79">
        <v>5.10623</v>
      </c>
      <c r="E23" s="67">
        <f t="shared" si="1"/>
        <v>21</v>
      </c>
      <c r="F23" s="67">
        <f t="shared" si="2"/>
        <v>45</v>
      </c>
      <c r="G23" s="67">
        <f t="shared" si="0"/>
        <v>-24</v>
      </c>
      <c r="H23" s="67">
        <f t="shared" si="4"/>
        <v>576</v>
      </c>
      <c r="T23" s="67">
        <v>19</v>
      </c>
      <c r="U23" s="67">
        <v>11</v>
      </c>
      <c r="V23" s="67">
        <f>COUNTIF(U23:$U$54,"&gt;"&amp;U23)</f>
        <v>26</v>
      </c>
      <c r="W23" s="67">
        <f>COUNTIF(U23:$U$54,"&lt;"&amp;U23)</f>
        <v>5</v>
      </c>
      <c r="X23" s="67">
        <f t="shared" si="3"/>
        <v>21</v>
      </c>
    </row>
    <row r="24" spans="1:30" x14ac:dyDescent="0.25">
      <c r="A24" s="79">
        <v>1.2312099999999999</v>
      </c>
      <c r="B24" s="79">
        <v>-1.6568700000000001</v>
      </c>
      <c r="E24" s="67">
        <f t="shared" si="1"/>
        <v>13</v>
      </c>
      <c r="F24" s="67">
        <f t="shared" si="2"/>
        <v>1</v>
      </c>
      <c r="G24" s="67">
        <f t="shared" si="0"/>
        <v>12</v>
      </c>
      <c r="H24" s="67">
        <f t="shared" si="4"/>
        <v>144</v>
      </c>
      <c r="T24" s="67">
        <v>20</v>
      </c>
      <c r="U24" s="67">
        <v>48</v>
      </c>
      <c r="V24" s="67">
        <f>COUNTIF(U24:$U$54,"&gt;"&amp;U24)</f>
        <v>1</v>
      </c>
      <c r="W24" s="67">
        <f>COUNTIF(U24:$U$54,"&lt;"&amp;U24)</f>
        <v>29</v>
      </c>
      <c r="X24" s="67">
        <f t="shared" si="3"/>
        <v>-28</v>
      </c>
    </row>
    <row r="25" spans="1:30" x14ac:dyDescent="0.25">
      <c r="A25" s="79">
        <v>1.0301</v>
      </c>
      <c r="B25" s="79">
        <v>2.9357099999999998</v>
      </c>
      <c r="E25" s="67">
        <f t="shared" si="1"/>
        <v>3</v>
      </c>
      <c r="F25" s="67">
        <f t="shared" si="2"/>
        <v>29</v>
      </c>
      <c r="G25" s="67">
        <f t="shared" si="0"/>
        <v>-26</v>
      </c>
      <c r="H25" s="67">
        <f t="shared" si="4"/>
        <v>676</v>
      </c>
      <c r="J25" s="126"/>
      <c r="K25" s="124">
        <f>K18*SQRT((K11-2)/(1-K18^2))</f>
        <v>7.6189890630609367E-2</v>
      </c>
      <c r="M25" s="126"/>
      <c r="N25" s="124">
        <f>_xlfn.T.INV(0.9,48)</f>
        <v>1.2994388786713924</v>
      </c>
      <c r="T25" s="67">
        <v>21</v>
      </c>
      <c r="U25" s="67">
        <v>45</v>
      </c>
      <c r="V25" s="67">
        <f>COUNTIF(U25:$U$54,"&gt;"&amp;U25)</f>
        <v>2</v>
      </c>
      <c r="W25" s="67">
        <f>COUNTIF(U25:$U$54,"&lt;"&amp;U25)</f>
        <v>27</v>
      </c>
      <c r="X25" s="67">
        <f t="shared" si="3"/>
        <v>-25</v>
      </c>
    </row>
    <row r="26" spans="1:30" x14ac:dyDescent="0.25">
      <c r="A26" s="79">
        <v>1.6012599999999999</v>
      </c>
      <c r="B26" s="79">
        <v>1.49274</v>
      </c>
      <c r="E26" s="67">
        <f t="shared" si="1"/>
        <v>29</v>
      </c>
      <c r="F26" s="67">
        <f t="shared" si="2"/>
        <v>14</v>
      </c>
      <c r="G26" s="67">
        <f t="shared" si="0"/>
        <v>15</v>
      </c>
      <c r="H26" s="67">
        <f t="shared" si="4"/>
        <v>225</v>
      </c>
      <c r="J26" s="141"/>
      <c r="K26" s="140"/>
      <c r="M26" s="141"/>
      <c r="N26" s="140"/>
      <c r="T26" s="67">
        <v>22</v>
      </c>
      <c r="U26" s="67">
        <v>37</v>
      </c>
      <c r="V26" s="67">
        <f>COUNTIF(U26:$U$54,"&gt;"&amp;U26)</f>
        <v>7</v>
      </c>
      <c r="W26" s="67">
        <f>COUNTIF(U26:$U$54,"&lt;"&amp;U26)</f>
        <v>21</v>
      </c>
      <c r="X26" s="67">
        <f t="shared" si="3"/>
        <v>-14</v>
      </c>
    </row>
    <row r="27" spans="1:30" x14ac:dyDescent="0.25">
      <c r="A27" s="66">
        <v>2.9899100000000001</v>
      </c>
      <c r="B27" s="79">
        <v>3.99708</v>
      </c>
      <c r="E27" s="67">
        <f t="shared" si="1"/>
        <v>50</v>
      </c>
      <c r="F27" s="67">
        <f t="shared" si="2"/>
        <v>39</v>
      </c>
      <c r="G27" s="67">
        <f t="shared" si="0"/>
        <v>11</v>
      </c>
      <c r="H27" s="67">
        <f t="shared" si="4"/>
        <v>121</v>
      </c>
      <c r="J27" s="127"/>
      <c r="K27" s="125"/>
      <c r="M27" s="127"/>
      <c r="N27" s="125"/>
      <c r="T27" s="67">
        <v>23</v>
      </c>
      <c r="U27" s="67">
        <v>49</v>
      </c>
      <c r="V27" s="67">
        <f>COUNTIF(U27:$U$54,"&gt;"&amp;U27)</f>
        <v>0</v>
      </c>
      <c r="W27" s="67">
        <f>COUNTIF(U27:$U$54,"&lt;"&amp;U27)</f>
        <v>27</v>
      </c>
      <c r="X27" s="67">
        <f t="shared" si="3"/>
        <v>-27</v>
      </c>
    </row>
    <row r="28" spans="1:30" x14ac:dyDescent="0.25">
      <c r="A28" s="79">
        <v>1.8061400000000001</v>
      </c>
      <c r="B28" s="79">
        <v>4.6470500000000001</v>
      </c>
      <c r="E28" s="67">
        <f t="shared" si="1"/>
        <v>43</v>
      </c>
      <c r="F28" s="67">
        <f t="shared" si="2"/>
        <v>43</v>
      </c>
      <c r="G28" s="67">
        <f t="shared" si="0"/>
        <v>0</v>
      </c>
      <c r="H28" s="67">
        <f t="shared" si="4"/>
        <v>0</v>
      </c>
      <c r="T28" s="67">
        <v>24</v>
      </c>
      <c r="U28" s="67">
        <v>44</v>
      </c>
      <c r="V28" s="67">
        <f>COUNTIF(U28:$U$54,"&gt;"&amp;U28)</f>
        <v>1</v>
      </c>
      <c r="W28" s="67">
        <f>COUNTIF(U28:$U$54,"&lt;"&amp;U28)</f>
        <v>25</v>
      </c>
      <c r="X28" s="67">
        <f t="shared" si="3"/>
        <v>-24</v>
      </c>
    </row>
    <row r="29" spans="1:30" x14ac:dyDescent="0.25">
      <c r="A29" s="79">
        <v>1.1653800000000001</v>
      </c>
      <c r="B29" s="79">
        <v>5.2593199999999998</v>
      </c>
      <c r="E29" s="67">
        <f t="shared" si="1"/>
        <v>9</v>
      </c>
      <c r="F29" s="67">
        <f t="shared" si="2"/>
        <v>47</v>
      </c>
      <c r="G29" s="67">
        <f t="shared" si="0"/>
        <v>-38</v>
      </c>
      <c r="H29" s="67">
        <f t="shared" si="4"/>
        <v>1444</v>
      </c>
      <c r="T29" s="67">
        <v>25</v>
      </c>
      <c r="U29" s="67">
        <v>20</v>
      </c>
      <c r="V29" s="67">
        <f>COUNTIF(U29:$U$54,"&gt;"&amp;U29)</f>
        <v>15</v>
      </c>
      <c r="W29" s="67">
        <f>COUNTIF(U29:$U$54,"&lt;"&amp;U29)</f>
        <v>10</v>
      </c>
      <c r="X29" s="67">
        <f t="shared" si="3"/>
        <v>5</v>
      </c>
    </row>
    <row r="30" spans="1:30" x14ac:dyDescent="0.25">
      <c r="A30" s="79">
        <v>1.83894</v>
      </c>
      <c r="B30" s="79">
        <v>2.8339300000000001</v>
      </c>
      <c r="E30" s="67">
        <f t="shared" si="1"/>
        <v>44</v>
      </c>
      <c r="F30" s="67">
        <f t="shared" si="2"/>
        <v>28</v>
      </c>
      <c r="G30" s="67">
        <f t="shared" si="0"/>
        <v>16</v>
      </c>
      <c r="H30" s="67">
        <f t="shared" si="4"/>
        <v>256</v>
      </c>
      <c r="J30" s="111" t="s">
        <v>97</v>
      </c>
      <c r="K30" s="111"/>
      <c r="L30" s="111" t="str">
        <f>IF(K25&lt;N25, "да; гипотеза не противоречит опытным данным.", "нет, гипотеза противоречит опытным данным.")</f>
        <v>да; гипотеза не противоречит опытным данным.</v>
      </c>
      <c r="M30" s="111"/>
      <c r="N30" s="111"/>
      <c r="T30" s="67">
        <v>26</v>
      </c>
      <c r="U30" s="67">
        <v>23</v>
      </c>
      <c r="V30" s="67">
        <f>COUNTIF(U30:$U$54,"&gt;"&amp;U30)</f>
        <v>13</v>
      </c>
      <c r="W30" s="67">
        <f>COUNTIF(U30:$U$54,"&lt;"&amp;U30)</f>
        <v>11</v>
      </c>
      <c r="X30" s="67">
        <f t="shared" si="3"/>
        <v>2</v>
      </c>
    </row>
    <row r="31" spans="1:30" ht="14.45" customHeight="1" x14ac:dyDescent="0.25">
      <c r="A31" s="79">
        <v>1.38235</v>
      </c>
      <c r="B31" s="79">
        <v>1.0916300000000001</v>
      </c>
      <c r="E31" s="67">
        <f t="shared" si="1"/>
        <v>19</v>
      </c>
      <c r="F31" s="67">
        <f t="shared" si="2"/>
        <v>11</v>
      </c>
      <c r="G31" s="67">
        <f t="shared" si="0"/>
        <v>8</v>
      </c>
      <c r="H31" s="67">
        <f t="shared" si="4"/>
        <v>64</v>
      </c>
      <c r="J31" s="111"/>
      <c r="K31" s="111"/>
      <c r="L31" s="111"/>
      <c r="M31" s="111"/>
      <c r="N31" s="111"/>
      <c r="T31" s="67">
        <v>27</v>
      </c>
      <c r="U31" s="67">
        <v>34</v>
      </c>
      <c r="V31" s="67">
        <f>COUNTIF(U31:$U$54,"&gt;"&amp;U31)</f>
        <v>7</v>
      </c>
      <c r="W31" s="67">
        <f>COUNTIF(U31:$U$54,"&lt;"&amp;U31)</f>
        <v>16</v>
      </c>
      <c r="X31" s="67">
        <f t="shared" si="3"/>
        <v>-9</v>
      </c>
    </row>
    <row r="32" spans="1:30" ht="14.1" customHeight="1" x14ac:dyDescent="0.25">
      <c r="A32" s="79">
        <v>1.16568</v>
      </c>
      <c r="B32" s="79">
        <v>-0.74036199999999996</v>
      </c>
      <c r="E32" s="67">
        <f t="shared" si="1"/>
        <v>10</v>
      </c>
      <c r="F32" s="67">
        <f t="shared" si="2"/>
        <v>2</v>
      </c>
      <c r="G32" s="67">
        <f t="shared" si="0"/>
        <v>8</v>
      </c>
      <c r="H32" s="67">
        <f t="shared" si="4"/>
        <v>64</v>
      </c>
      <c r="J32" s="111"/>
      <c r="K32" s="111"/>
      <c r="L32" s="111"/>
      <c r="M32" s="111"/>
      <c r="N32" s="111"/>
      <c r="O32" s="78"/>
      <c r="T32" s="67">
        <v>28</v>
      </c>
      <c r="U32" s="67">
        <v>31</v>
      </c>
      <c r="V32" s="67">
        <f>COUNTIF(U32:$U$54,"&gt;"&amp;U32)</f>
        <v>8</v>
      </c>
      <c r="W32" s="67">
        <f>COUNTIF(U32:$U$54,"&lt;"&amp;U32)</f>
        <v>14</v>
      </c>
      <c r="X32" s="67">
        <f t="shared" si="3"/>
        <v>-6</v>
      </c>
    </row>
    <row r="33" spans="1:24" x14ac:dyDescent="0.25">
      <c r="A33" s="79">
        <v>1.19563</v>
      </c>
      <c r="B33" s="79">
        <v>2.7600500000000001</v>
      </c>
      <c r="E33" s="67">
        <f t="shared" si="1"/>
        <v>11</v>
      </c>
      <c r="F33" s="67">
        <f t="shared" si="2"/>
        <v>26</v>
      </c>
      <c r="G33" s="67">
        <f t="shared" si="0"/>
        <v>-15</v>
      </c>
      <c r="H33" s="67">
        <f t="shared" si="4"/>
        <v>225</v>
      </c>
      <c r="O33" s="78"/>
      <c r="T33" s="67">
        <v>29</v>
      </c>
      <c r="U33" s="67">
        <v>14</v>
      </c>
      <c r="V33" s="67">
        <f>COUNTIF(U33:$U$54,"&gt;"&amp;U33)</f>
        <v>14</v>
      </c>
      <c r="W33" s="67">
        <f>COUNTIF(U33:$U$54,"&lt;"&amp;U33)</f>
        <v>7</v>
      </c>
      <c r="X33" s="67">
        <f t="shared" si="3"/>
        <v>7</v>
      </c>
    </row>
    <row r="34" spans="1:24" x14ac:dyDescent="0.25">
      <c r="A34" s="79">
        <v>1.46665</v>
      </c>
      <c r="B34" s="79">
        <v>1.9047400000000001</v>
      </c>
      <c r="E34" s="67">
        <f t="shared" si="1"/>
        <v>25</v>
      </c>
      <c r="F34" s="67">
        <f t="shared" si="2"/>
        <v>20</v>
      </c>
      <c r="G34" s="67">
        <f t="shared" si="0"/>
        <v>5</v>
      </c>
      <c r="H34" s="67">
        <f t="shared" si="4"/>
        <v>25</v>
      </c>
      <c r="O34" s="78"/>
      <c r="T34" s="67">
        <v>30</v>
      </c>
      <c r="U34" s="67">
        <v>42</v>
      </c>
      <c r="V34" s="67">
        <f>COUNTIF(U34:$U$54,"&gt;"&amp;U34)</f>
        <v>2</v>
      </c>
      <c r="W34" s="67">
        <f>COUNTIF(U34:$U$54,"&lt;"&amp;U34)</f>
        <v>18</v>
      </c>
      <c r="X34" s="67">
        <f t="shared" si="3"/>
        <v>-16</v>
      </c>
    </row>
    <row r="35" spans="1:24" x14ac:dyDescent="0.25">
      <c r="A35" s="79">
        <v>1.59293</v>
      </c>
      <c r="B35" s="79">
        <v>3.0217100000000001</v>
      </c>
      <c r="E35" s="67">
        <f t="shared" si="1"/>
        <v>28</v>
      </c>
      <c r="F35" s="67">
        <f t="shared" si="2"/>
        <v>31</v>
      </c>
      <c r="G35" s="67">
        <f t="shared" si="0"/>
        <v>-3</v>
      </c>
      <c r="H35" s="67">
        <f t="shared" si="4"/>
        <v>9</v>
      </c>
      <c r="T35" s="67">
        <v>31</v>
      </c>
      <c r="U35" s="67">
        <v>8</v>
      </c>
      <c r="V35" s="67">
        <f>COUNTIF(U35:$U$54,"&gt;"&amp;U35)</f>
        <v>16</v>
      </c>
      <c r="W35" s="67">
        <f>COUNTIF(U35:$U$54,"&lt;"&amp;U35)</f>
        <v>3</v>
      </c>
      <c r="X35" s="67">
        <f t="shared" si="3"/>
        <v>13</v>
      </c>
    </row>
    <row r="36" spans="1:24" x14ac:dyDescent="0.25">
      <c r="A36" s="79">
        <v>1.7760800000000001</v>
      </c>
      <c r="B36" s="79">
        <v>3.7261500000000001</v>
      </c>
      <c r="E36" s="67">
        <f t="shared" si="1"/>
        <v>38</v>
      </c>
      <c r="F36" s="67">
        <f t="shared" si="2"/>
        <v>35</v>
      </c>
      <c r="G36" s="67">
        <f t="shared" si="0"/>
        <v>3</v>
      </c>
      <c r="H36" s="67">
        <f t="shared" si="4"/>
        <v>9</v>
      </c>
      <c r="T36" s="67">
        <v>32</v>
      </c>
      <c r="U36" s="67">
        <v>22</v>
      </c>
      <c r="V36" s="67">
        <f>COUNTIF(U36:$U$54,"&gt;"&amp;U36)</f>
        <v>10</v>
      </c>
      <c r="W36" s="67">
        <f>COUNTIF(U36:$U$54,"&lt;"&amp;U36)</f>
        <v>8</v>
      </c>
      <c r="X36" s="67">
        <f t="shared" si="3"/>
        <v>2</v>
      </c>
    </row>
    <row r="37" spans="1:24" x14ac:dyDescent="0.25">
      <c r="A37" s="79">
        <v>1.2785299999999999</v>
      </c>
      <c r="B37" s="79">
        <v>1.72692</v>
      </c>
      <c r="E37" s="67">
        <f t="shared" ref="E37:E54" si="5">_xlfn.RANK.AVG(A37,$A$5:$A$54,1)</f>
        <v>14</v>
      </c>
      <c r="F37" s="67">
        <f t="shared" ref="F37:F54" si="6">_xlfn.RANK.AVG(B37,$B$5:$B$54,1)</f>
        <v>18</v>
      </c>
      <c r="G37" s="67">
        <f t="shared" ref="G37:G54" si="7">E37-F37</f>
        <v>-4</v>
      </c>
      <c r="H37" s="67">
        <f t="shared" ref="H37:H54" si="8">G37^2</f>
        <v>16</v>
      </c>
      <c r="T37" s="67">
        <v>33</v>
      </c>
      <c r="U37" s="67">
        <v>27</v>
      </c>
      <c r="V37" s="67">
        <f>COUNTIF(U37:$U$54,"&gt;"&amp;U37)</f>
        <v>8</v>
      </c>
      <c r="W37" s="67">
        <f>COUNTIF(U37:$U$54,"&lt;"&amp;U37)</f>
        <v>9</v>
      </c>
      <c r="X37" s="67">
        <f t="shared" ref="X37:X54" si="9">V37-W37</f>
        <v>-1</v>
      </c>
    </row>
    <row r="38" spans="1:24" x14ac:dyDescent="0.25">
      <c r="A38" s="79">
        <v>1.64323</v>
      </c>
      <c r="B38" s="79">
        <v>3.8111799999999998</v>
      </c>
      <c r="E38" s="67">
        <f t="shared" si="5"/>
        <v>35</v>
      </c>
      <c r="F38" s="67">
        <f t="shared" si="6"/>
        <v>36</v>
      </c>
      <c r="G38" s="67">
        <f t="shared" si="7"/>
        <v>-1</v>
      </c>
      <c r="H38" s="67">
        <f t="shared" si="8"/>
        <v>1</v>
      </c>
      <c r="T38" s="67">
        <v>34</v>
      </c>
      <c r="U38" s="67">
        <v>4</v>
      </c>
      <c r="V38" s="67">
        <f>COUNTIF(U38:$U$54,"&gt;"&amp;U38)</f>
        <v>16</v>
      </c>
      <c r="W38" s="67">
        <f>COUNTIF(U38:$U$54,"&lt;"&amp;U38)</f>
        <v>0</v>
      </c>
      <c r="X38" s="67">
        <f t="shared" si="9"/>
        <v>16</v>
      </c>
    </row>
    <row r="39" spans="1:24" x14ac:dyDescent="0.25">
      <c r="A39" s="79">
        <v>1.33144</v>
      </c>
      <c r="B39" s="79">
        <v>0.27818100000000001</v>
      </c>
      <c r="E39" s="67">
        <f t="shared" si="5"/>
        <v>17</v>
      </c>
      <c r="F39" s="67">
        <f t="shared" si="6"/>
        <v>9</v>
      </c>
      <c r="G39" s="67">
        <f t="shared" si="7"/>
        <v>8</v>
      </c>
      <c r="H39" s="67">
        <f t="shared" si="8"/>
        <v>64</v>
      </c>
      <c r="T39" s="67">
        <v>35</v>
      </c>
      <c r="U39" s="67">
        <v>36</v>
      </c>
      <c r="V39" s="67">
        <f>COUNTIF(U39:$U$54,"&gt;"&amp;U39)</f>
        <v>4</v>
      </c>
      <c r="W39" s="67">
        <f>COUNTIF(U39:$U$54,"&lt;"&amp;U39)</f>
        <v>11</v>
      </c>
      <c r="X39" s="67">
        <f t="shared" si="9"/>
        <v>-7</v>
      </c>
    </row>
    <row r="40" spans="1:24" x14ac:dyDescent="0.25">
      <c r="A40" s="79">
        <v>1.39706</v>
      </c>
      <c r="B40" s="79">
        <v>5.4249200000000002</v>
      </c>
      <c r="E40" s="67">
        <f t="shared" si="5"/>
        <v>20</v>
      </c>
      <c r="F40" s="67">
        <f t="shared" si="6"/>
        <v>48</v>
      </c>
      <c r="G40" s="67">
        <f t="shared" si="7"/>
        <v>-28</v>
      </c>
      <c r="H40" s="67">
        <f t="shared" si="8"/>
        <v>784</v>
      </c>
      <c r="T40" s="67">
        <v>36</v>
      </c>
      <c r="U40" s="67">
        <v>10</v>
      </c>
      <c r="V40" s="67">
        <f>COUNTIF(U40:$U$54,"&gt;"&amp;U40)</f>
        <v>12</v>
      </c>
      <c r="W40" s="67">
        <f>COUNTIF(U40:$U$54,"&lt;"&amp;U40)</f>
        <v>2</v>
      </c>
      <c r="X40" s="67">
        <f t="shared" si="9"/>
        <v>10</v>
      </c>
    </row>
    <row r="41" spans="1:24" x14ac:dyDescent="0.25">
      <c r="A41" s="79">
        <v>1.1195900000000001</v>
      </c>
      <c r="B41" s="79">
        <v>6.4695099999999996</v>
      </c>
      <c r="E41" s="67">
        <f t="shared" si="5"/>
        <v>7</v>
      </c>
      <c r="F41" s="67">
        <f t="shared" si="6"/>
        <v>50</v>
      </c>
      <c r="G41" s="67">
        <f t="shared" si="7"/>
        <v>-43</v>
      </c>
      <c r="H41" s="67">
        <f t="shared" si="8"/>
        <v>1849</v>
      </c>
      <c r="T41" s="67">
        <v>37</v>
      </c>
      <c r="U41" s="67">
        <v>16</v>
      </c>
      <c r="V41" s="67">
        <f>COUNTIF(U41:$U$54,"&gt;"&amp;U41)</f>
        <v>8</v>
      </c>
      <c r="W41" s="67">
        <f>COUNTIF(U41:$U$54,"&lt;"&amp;U41)</f>
        <v>5</v>
      </c>
      <c r="X41" s="67">
        <f t="shared" si="9"/>
        <v>3</v>
      </c>
    </row>
    <row r="42" spans="1:24" x14ac:dyDescent="0.25">
      <c r="A42" s="79">
        <v>1.2020200000000001</v>
      </c>
      <c r="B42" s="79">
        <v>3.1700400000000002</v>
      </c>
      <c r="E42" s="67">
        <f t="shared" si="5"/>
        <v>12</v>
      </c>
      <c r="F42" s="67">
        <f t="shared" si="6"/>
        <v>33</v>
      </c>
      <c r="G42" s="67">
        <f t="shared" si="7"/>
        <v>-21</v>
      </c>
      <c r="H42" s="67">
        <f t="shared" si="8"/>
        <v>441</v>
      </c>
      <c r="T42" s="67">
        <v>38</v>
      </c>
      <c r="U42" s="67">
        <v>35</v>
      </c>
      <c r="V42" s="67">
        <f>COUNTIF(U42:$U$54,"&gt;"&amp;U42)</f>
        <v>4</v>
      </c>
      <c r="W42" s="67">
        <f>COUNTIF(U42:$U$54,"&lt;"&amp;U42)</f>
        <v>8</v>
      </c>
      <c r="X42" s="67">
        <f t="shared" si="9"/>
        <v>-4</v>
      </c>
    </row>
    <row r="43" spans="1:24" x14ac:dyDescent="0.25">
      <c r="A43" s="79">
        <v>1.96417</v>
      </c>
      <c r="B43" s="79">
        <v>1.5833200000000001</v>
      </c>
      <c r="E43" s="67">
        <f t="shared" si="5"/>
        <v>45</v>
      </c>
      <c r="F43" s="67">
        <f t="shared" si="6"/>
        <v>15</v>
      </c>
      <c r="G43" s="67">
        <f t="shared" si="7"/>
        <v>30</v>
      </c>
      <c r="H43" s="67">
        <f t="shared" si="8"/>
        <v>900</v>
      </c>
      <c r="T43" s="67">
        <v>39</v>
      </c>
      <c r="U43" s="67">
        <v>40</v>
      </c>
      <c r="V43" s="67">
        <f>COUNTIF(U43:$U$54,"&gt;"&amp;U43)</f>
        <v>2</v>
      </c>
      <c r="W43" s="67">
        <f>COUNTIF(U43:$U$54,"&lt;"&amp;U43)</f>
        <v>9</v>
      </c>
      <c r="X43" s="67">
        <f t="shared" si="9"/>
        <v>-7</v>
      </c>
    </row>
    <row r="44" spans="1:24" x14ac:dyDescent="0.25">
      <c r="A44" s="79">
        <v>1.6327499999999999</v>
      </c>
      <c r="B44" s="79">
        <v>2.7949199999999998</v>
      </c>
      <c r="E44" s="67">
        <f t="shared" si="5"/>
        <v>33</v>
      </c>
      <c r="F44" s="67">
        <f t="shared" si="6"/>
        <v>27</v>
      </c>
      <c r="G44" s="67">
        <f t="shared" si="7"/>
        <v>6</v>
      </c>
      <c r="H44" s="67">
        <f t="shared" si="8"/>
        <v>36</v>
      </c>
      <c r="T44" s="67">
        <v>40</v>
      </c>
      <c r="U44" s="67">
        <v>6</v>
      </c>
      <c r="V44" s="67">
        <f>COUNTIF(U44:$U$54,"&gt;"&amp;U44)</f>
        <v>10</v>
      </c>
      <c r="W44" s="67">
        <f>COUNTIF(U44:$U$54,"&lt;"&amp;U44)</f>
        <v>0</v>
      </c>
      <c r="X44" s="67">
        <f t="shared" si="9"/>
        <v>10</v>
      </c>
    </row>
    <row r="45" spans="1:24" x14ac:dyDescent="0.25">
      <c r="A45" s="79">
        <v>1.00892</v>
      </c>
      <c r="B45" s="79">
        <v>1.7513700000000001</v>
      </c>
      <c r="E45" s="67">
        <f t="shared" si="5"/>
        <v>2</v>
      </c>
      <c r="F45" s="67">
        <f t="shared" si="6"/>
        <v>19</v>
      </c>
      <c r="G45" s="67">
        <f t="shared" si="7"/>
        <v>-17</v>
      </c>
      <c r="H45" s="67">
        <f t="shared" si="8"/>
        <v>289</v>
      </c>
      <c r="T45" s="67">
        <v>41</v>
      </c>
      <c r="U45" s="67">
        <v>25</v>
      </c>
      <c r="V45" s="67">
        <f>COUNTIF(U45:$U$54,"&gt;"&amp;U45)</f>
        <v>5</v>
      </c>
      <c r="W45" s="67">
        <f>COUNTIF(U45:$U$54,"&lt;"&amp;U45)</f>
        <v>4</v>
      </c>
      <c r="X45" s="67">
        <f t="shared" si="9"/>
        <v>1</v>
      </c>
    </row>
    <row r="46" spans="1:24" x14ac:dyDescent="0.25">
      <c r="A46" s="79">
        <v>1.80463</v>
      </c>
      <c r="B46" s="79">
        <v>1.25841</v>
      </c>
      <c r="E46" s="67">
        <f t="shared" si="5"/>
        <v>42</v>
      </c>
      <c r="F46" s="67">
        <f t="shared" si="6"/>
        <v>13</v>
      </c>
      <c r="G46" s="67">
        <f t="shared" si="7"/>
        <v>29</v>
      </c>
      <c r="H46" s="67">
        <f t="shared" si="8"/>
        <v>841</v>
      </c>
      <c r="T46" s="67">
        <v>42</v>
      </c>
      <c r="U46" s="67">
        <v>13</v>
      </c>
      <c r="V46" s="67">
        <f>COUNTIF(U46:$U$54,"&gt;"&amp;U46)</f>
        <v>6</v>
      </c>
      <c r="W46" s="67">
        <f>COUNTIF(U46:$U$54,"&lt;"&amp;U46)</f>
        <v>2</v>
      </c>
      <c r="X46" s="67">
        <f t="shared" si="9"/>
        <v>4</v>
      </c>
    </row>
    <row r="47" spans="1:24" x14ac:dyDescent="0.25">
      <c r="A47" s="79">
        <v>1.7030099999999999</v>
      </c>
      <c r="B47" s="79">
        <v>1.5901099999999999</v>
      </c>
      <c r="E47" s="67">
        <f t="shared" si="5"/>
        <v>37</v>
      </c>
      <c r="F47" s="67">
        <f t="shared" si="6"/>
        <v>16</v>
      </c>
      <c r="G47" s="67">
        <f t="shared" si="7"/>
        <v>21</v>
      </c>
      <c r="H47" s="67">
        <f t="shared" si="8"/>
        <v>441</v>
      </c>
      <c r="T47" s="67">
        <v>43</v>
      </c>
      <c r="U47" s="67">
        <v>43</v>
      </c>
      <c r="V47" s="67">
        <f>COUNTIF(U47:$U$54,"&gt;"&amp;U47)</f>
        <v>1</v>
      </c>
      <c r="W47" s="67">
        <f>COUNTIF(U47:$U$54,"&lt;"&amp;U47)</f>
        <v>6</v>
      </c>
      <c r="X47" s="67">
        <f t="shared" si="9"/>
        <v>-5</v>
      </c>
    </row>
    <row r="48" spans="1:24" x14ac:dyDescent="0.25">
      <c r="A48" s="66">
        <v>2.1029599999999999</v>
      </c>
      <c r="B48" s="79">
        <v>-0.13830100000000001</v>
      </c>
      <c r="E48" s="67">
        <f t="shared" si="5"/>
        <v>47</v>
      </c>
      <c r="F48" s="67">
        <f t="shared" si="6"/>
        <v>7</v>
      </c>
      <c r="G48" s="67">
        <f t="shared" si="7"/>
        <v>40</v>
      </c>
      <c r="H48" s="67">
        <f t="shared" si="8"/>
        <v>1600</v>
      </c>
      <c r="T48" s="67">
        <v>44</v>
      </c>
      <c r="U48" s="67">
        <v>28</v>
      </c>
      <c r="V48" s="67">
        <f>COUNTIF(U48:$U$54,"&gt;"&amp;U48)</f>
        <v>3</v>
      </c>
      <c r="W48" s="67">
        <f>COUNTIF(U48:$U$54,"&lt;"&amp;U48)</f>
        <v>3</v>
      </c>
      <c r="X48" s="67">
        <f t="shared" si="9"/>
        <v>0</v>
      </c>
    </row>
    <row r="49" spans="1:24" x14ac:dyDescent="0.25">
      <c r="A49" s="79">
        <v>1.5667199999999999</v>
      </c>
      <c r="B49" s="79">
        <v>3.7054800000000001</v>
      </c>
      <c r="E49" s="67">
        <f t="shared" si="5"/>
        <v>27</v>
      </c>
      <c r="F49" s="67">
        <f t="shared" si="6"/>
        <v>34</v>
      </c>
      <c r="G49" s="67">
        <f t="shared" si="7"/>
        <v>-7</v>
      </c>
      <c r="H49" s="67">
        <f t="shared" si="8"/>
        <v>49</v>
      </c>
      <c r="T49" s="67">
        <v>45</v>
      </c>
      <c r="U49" s="67">
        <v>15</v>
      </c>
      <c r="V49" s="67">
        <f>COUNTIF(U49:$U$54,"&gt;"&amp;U49)</f>
        <v>3</v>
      </c>
      <c r="W49" s="67">
        <f>COUNTIF(U49:$U$54,"&lt;"&amp;U49)</f>
        <v>2</v>
      </c>
      <c r="X49" s="67">
        <f t="shared" si="9"/>
        <v>1</v>
      </c>
    </row>
    <row r="50" spans="1:24" x14ac:dyDescent="0.25">
      <c r="A50" s="79">
        <v>1.63835</v>
      </c>
      <c r="B50" s="79">
        <v>-0.60269700000000004</v>
      </c>
      <c r="E50" s="67">
        <f t="shared" si="5"/>
        <v>34</v>
      </c>
      <c r="F50" s="67">
        <f t="shared" si="6"/>
        <v>4</v>
      </c>
      <c r="G50" s="67">
        <f t="shared" si="7"/>
        <v>30</v>
      </c>
      <c r="H50" s="67">
        <f t="shared" si="8"/>
        <v>900</v>
      </c>
      <c r="T50" s="67">
        <v>46</v>
      </c>
      <c r="U50" s="67">
        <v>12</v>
      </c>
      <c r="V50" s="67">
        <f>COUNTIF(U50:$U$54,"&gt;"&amp;U50)</f>
        <v>3</v>
      </c>
      <c r="W50" s="67">
        <f>COUNTIF(U50:$U$54,"&lt;"&amp;U50)</f>
        <v>1</v>
      </c>
      <c r="X50" s="67">
        <f t="shared" si="9"/>
        <v>2</v>
      </c>
    </row>
    <row r="51" spans="1:24" x14ac:dyDescent="0.25">
      <c r="A51" s="79">
        <v>1.60833</v>
      </c>
      <c r="B51" s="79">
        <v>4.6064499999999997</v>
      </c>
      <c r="E51" s="67">
        <f t="shared" si="5"/>
        <v>30</v>
      </c>
      <c r="F51" s="67">
        <f t="shared" si="6"/>
        <v>42</v>
      </c>
      <c r="G51" s="67">
        <f t="shared" si="7"/>
        <v>-12</v>
      </c>
      <c r="H51" s="67">
        <f t="shared" si="8"/>
        <v>144</v>
      </c>
      <c r="T51" s="67">
        <v>47</v>
      </c>
      <c r="U51" s="67">
        <v>7</v>
      </c>
      <c r="V51" s="67">
        <f>COUNTIF(U51:$U$54,"&gt;"&amp;U51)</f>
        <v>3</v>
      </c>
      <c r="W51" s="67">
        <f>COUNTIF(U51:$U$54,"&lt;"&amp;U51)</f>
        <v>0</v>
      </c>
      <c r="X51" s="67">
        <f t="shared" si="9"/>
        <v>3</v>
      </c>
    </row>
    <row r="52" spans="1:24" x14ac:dyDescent="0.25">
      <c r="A52" s="79">
        <v>1.28857</v>
      </c>
      <c r="B52" s="79">
        <v>-0.73702800000000002</v>
      </c>
      <c r="E52" s="67">
        <f t="shared" si="5"/>
        <v>15</v>
      </c>
      <c r="F52" s="67">
        <f t="shared" si="6"/>
        <v>3</v>
      </c>
      <c r="G52" s="67">
        <f t="shared" si="7"/>
        <v>12</v>
      </c>
      <c r="H52" s="67">
        <f t="shared" si="8"/>
        <v>144</v>
      </c>
      <c r="T52" s="67">
        <v>48</v>
      </c>
      <c r="U52" s="67">
        <v>46</v>
      </c>
      <c r="V52" s="67">
        <f>COUNTIF(U52:$U$54,"&gt;"&amp;U52)</f>
        <v>0</v>
      </c>
      <c r="W52" s="67">
        <f>COUNTIF(U52:$U$54,"&lt;"&amp;U52)</f>
        <v>2</v>
      </c>
      <c r="X52" s="67">
        <f t="shared" si="9"/>
        <v>-2</v>
      </c>
    </row>
    <row r="53" spans="1:24" x14ac:dyDescent="0.25">
      <c r="A53" s="79">
        <v>1.6846699999999999</v>
      </c>
      <c r="B53" s="79">
        <v>0.42441400000000001</v>
      </c>
      <c r="E53" s="67">
        <f t="shared" si="5"/>
        <v>36</v>
      </c>
      <c r="F53" s="67">
        <f t="shared" si="6"/>
        <v>10</v>
      </c>
      <c r="G53" s="67">
        <f t="shared" si="7"/>
        <v>26</v>
      </c>
      <c r="H53" s="67">
        <f t="shared" si="8"/>
        <v>676</v>
      </c>
      <c r="T53" s="67">
        <v>49</v>
      </c>
      <c r="U53" s="67">
        <v>32</v>
      </c>
      <c r="V53" s="67">
        <f>COUNTIF(U53:$U$54,"&gt;"&amp;U53)</f>
        <v>1</v>
      </c>
      <c r="W53" s="67">
        <f>COUNTIF(U53:$U$54,"&lt;"&amp;U53)</f>
        <v>0</v>
      </c>
      <c r="X53" s="67">
        <f t="shared" si="9"/>
        <v>1</v>
      </c>
    </row>
    <row r="54" spans="1:24" x14ac:dyDescent="0.25">
      <c r="A54" s="79">
        <v>1.4887300000000001</v>
      </c>
      <c r="B54" s="79">
        <v>2.4750100000000002</v>
      </c>
      <c r="E54" s="67">
        <f t="shared" si="5"/>
        <v>26</v>
      </c>
      <c r="F54" s="67">
        <f t="shared" si="6"/>
        <v>23</v>
      </c>
      <c r="G54" s="67">
        <f t="shared" si="7"/>
        <v>3</v>
      </c>
      <c r="H54" s="67">
        <f t="shared" si="8"/>
        <v>9</v>
      </c>
      <c r="T54" s="67">
        <v>50</v>
      </c>
      <c r="U54" s="67">
        <v>39</v>
      </c>
      <c r="V54" s="67">
        <f>COUNTIF(U54:$U$54,"&gt;"&amp;U54)</f>
        <v>0</v>
      </c>
      <c r="W54" s="67">
        <f>COUNTIF(U54:$U$54,"&lt;"&amp;U54)</f>
        <v>0</v>
      </c>
      <c r="X54" s="67">
        <f t="shared" si="9"/>
        <v>0</v>
      </c>
    </row>
  </sheetData>
  <sortState xmlns:xlrd2="http://schemas.microsoft.com/office/spreadsheetml/2017/richdata2" ref="T5:X54">
    <sortCondition ref="T5:T54"/>
  </sortState>
  <mergeCells count="28">
    <mergeCell ref="M25:M27"/>
    <mergeCell ref="A1:D2"/>
    <mergeCell ref="J4:J5"/>
    <mergeCell ref="K4:K5"/>
    <mergeCell ref="J7:J9"/>
    <mergeCell ref="K7:Q9"/>
    <mergeCell ref="V3:V4"/>
    <mergeCell ref="W3:W4"/>
    <mergeCell ref="X3:X4"/>
    <mergeCell ref="N25:N27"/>
    <mergeCell ref="J30:K32"/>
    <mergeCell ref="L30:N32"/>
    <mergeCell ref="T3:T4"/>
    <mergeCell ref="U3:U4"/>
    <mergeCell ref="K11:K12"/>
    <mergeCell ref="J11:J12"/>
    <mergeCell ref="J14:J15"/>
    <mergeCell ref="K14:K15"/>
    <mergeCell ref="J21:Q22"/>
    <mergeCell ref="J20:K20"/>
    <mergeCell ref="J25:J27"/>
    <mergeCell ref="K25:K27"/>
    <mergeCell ref="Z19:AA21"/>
    <mergeCell ref="AB19:AD21"/>
    <mergeCell ref="Z3:AA4"/>
    <mergeCell ref="Z8:AB9"/>
    <mergeCell ref="Z16:Z17"/>
    <mergeCell ref="AA16:AA1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9FF2-AF80-47DC-8571-B36D24C48515}">
  <sheetPr>
    <tabColor rgb="FFFFCCCC"/>
  </sheetPr>
  <dimension ref="A1:W55"/>
  <sheetViews>
    <sheetView zoomScale="72" zoomScaleNormal="40" workbookViewId="0">
      <selection activeCell="E22" sqref="E22"/>
    </sheetView>
  </sheetViews>
  <sheetFormatPr defaultColWidth="9.140625" defaultRowHeight="15" x14ac:dyDescent="0.25"/>
  <cols>
    <col min="1" max="1" width="9.140625" style="82" customWidth="1"/>
    <col min="2" max="2" width="9" style="82" customWidth="1"/>
    <col min="3" max="3" width="14" style="82" customWidth="1"/>
    <col min="4" max="4" width="13.42578125" style="82" bestFit="1" customWidth="1"/>
    <col min="5" max="5" width="15.5703125" style="82" customWidth="1"/>
    <col min="6" max="8" width="11.5703125" style="82" bestFit="1" customWidth="1"/>
    <col min="9" max="9" width="12.140625" style="82" bestFit="1" customWidth="1"/>
    <col min="10" max="17" width="9.140625" style="82"/>
    <col min="18" max="18" width="13.85546875" style="82" customWidth="1"/>
    <col min="19" max="16384" width="9.140625" style="82"/>
  </cols>
  <sheetData>
    <row r="1" spans="1:23" ht="14.1" customHeight="1" x14ac:dyDescent="0.25">
      <c r="A1" s="113" t="s">
        <v>103</v>
      </c>
      <c r="B1" s="153"/>
      <c r="C1" s="153"/>
      <c r="D1" s="153"/>
      <c r="E1" s="114"/>
      <c r="F1" s="75"/>
    </row>
    <row r="2" spans="1:23" x14ac:dyDescent="0.25">
      <c r="A2" s="117"/>
      <c r="B2" s="154"/>
      <c r="C2" s="154"/>
      <c r="D2" s="154"/>
      <c r="E2" s="118"/>
      <c r="F2" s="75"/>
    </row>
    <row r="3" spans="1:23" x14ac:dyDescent="0.25">
      <c r="B3" s="78"/>
      <c r="C3" s="78"/>
      <c r="D3" s="78"/>
      <c r="E3" s="78"/>
      <c r="F3" s="78"/>
    </row>
    <row r="4" spans="1:23" ht="14.45" customHeight="1" x14ac:dyDescent="0.25">
      <c r="A4" s="111" t="s">
        <v>0</v>
      </c>
      <c r="B4" s="111" t="s">
        <v>1</v>
      </c>
      <c r="C4" s="155" t="s">
        <v>104</v>
      </c>
      <c r="D4" s="111" t="s">
        <v>105</v>
      </c>
      <c r="E4" s="111" t="s">
        <v>106</v>
      </c>
      <c r="F4" s="111" t="s">
        <v>109</v>
      </c>
      <c r="G4" s="111" t="s">
        <v>110</v>
      </c>
      <c r="H4" s="111" t="s">
        <v>107</v>
      </c>
      <c r="I4" s="111" t="s">
        <v>108</v>
      </c>
    </row>
    <row r="5" spans="1:23" x14ac:dyDescent="0.25">
      <c r="A5" s="111"/>
      <c r="B5" s="111"/>
      <c r="C5" s="155"/>
      <c r="D5" s="111"/>
      <c r="E5" s="111"/>
      <c r="F5" s="111"/>
      <c r="G5" s="111"/>
      <c r="H5" s="111"/>
      <c r="I5" s="111"/>
      <c r="O5" s="75"/>
      <c r="P5" s="75"/>
      <c r="Q5" s="75"/>
    </row>
    <row r="6" spans="1:23" x14ac:dyDescent="0.25">
      <c r="A6" s="85">
        <v>1.1511100000000001</v>
      </c>
      <c r="B6" s="85">
        <v>3.0167700000000002</v>
      </c>
      <c r="C6" s="86">
        <f>AVERAGE(A6:A55)</f>
        <v>1.5424106000000009</v>
      </c>
      <c r="D6" s="86">
        <f>AVERAGE(B6:B55)</f>
        <v>2.5221319599999994</v>
      </c>
      <c r="E6" s="86">
        <f>CORREL(A6:A55,B6:B55)</f>
        <v>5.4663471967464496E-2</v>
      </c>
      <c r="F6" s="86">
        <f>_xlfn.STDEV.S(A6:A55)</f>
        <v>0.41039231207944926</v>
      </c>
      <c r="G6" s="86">
        <f>_xlfn.STDEV.S(B6:B55)</f>
        <v>1.9487441265629384</v>
      </c>
      <c r="H6" s="85">
        <f>($E$6*($G$6/$F$6)*A6)+$D$6-($E$6*($G$6/$F$6)*$C$6)</f>
        <v>2.420562456579991</v>
      </c>
      <c r="I6" s="85">
        <f>(1/($E$6)*($G$6/$F$6)*(A6-$C$6)+$D$6)</f>
        <v>-31.469256441361654</v>
      </c>
      <c r="O6" s="75"/>
      <c r="P6" s="75"/>
      <c r="Q6" s="75"/>
      <c r="S6" s="75"/>
      <c r="T6" s="75"/>
      <c r="W6" s="75"/>
    </row>
    <row r="7" spans="1:23" x14ac:dyDescent="0.25">
      <c r="A7" s="85">
        <v>1.79654</v>
      </c>
      <c r="B7" s="85">
        <v>-0.17352000000000001</v>
      </c>
      <c r="H7" s="85">
        <f t="shared" ref="H7:H55" si="0">($E$6*($G$6/$F$6)*A7)+$D$6-($E$6*($G$6/$F$6)*$C$6)</f>
        <v>2.5880960729158105</v>
      </c>
      <c r="I7" s="85">
        <f t="shared" ref="I7:I55" si="1">(1/($E$6)*($G$6/$F$6)*(A7-$C$6)+$D$6)</f>
        <v>24.597771863452618</v>
      </c>
      <c r="S7" s="75"/>
      <c r="T7" s="75"/>
      <c r="W7" s="75"/>
    </row>
    <row r="8" spans="1:23" x14ac:dyDescent="0.25">
      <c r="A8" s="87">
        <v>2.8480599999999998</v>
      </c>
      <c r="B8" s="85">
        <v>3.1695199999999999</v>
      </c>
      <c r="H8" s="85">
        <f t="shared" si="0"/>
        <v>2.8610380623638383</v>
      </c>
      <c r="I8" s="85">
        <f t="shared" si="1"/>
        <v>115.94090993121874</v>
      </c>
      <c r="J8" s="75"/>
      <c r="S8" s="75"/>
      <c r="T8" s="92"/>
      <c r="W8" s="75"/>
    </row>
    <row r="9" spans="1:23" x14ac:dyDescent="0.25">
      <c r="A9" s="85">
        <v>1.6140699999999999</v>
      </c>
      <c r="B9" s="85">
        <v>2.3263500000000001</v>
      </c>
      <c r="D9" s="89" t="s">
        <v>113</v>
      </c>
      <c r="E9" s="88"/>
      <c r="H9" s="85">
        <f t="shared" si="0"/>
        <v>2.5407325184284186</v>
      </c>
      <c r="I9" s="85">
        <f t="shared" si="1"/>
        <v>8.7470201866178421</v>
      </c>
      <c r="S9" s="75"/>
      <c r="T9" s="75"/>
      <c r="W9" s="75"/>
    </row>
    <row r="10" spans="1:23" x14ac:dyDescent="0.25">
      <c r="A10" s="85">
        <v>1.31524</v>
      </c>
      <c r="B10" s="85">
        <v>1.91276</v>
      </c>
      <c r="D10" s="121" t="s">
        <v>111</v>
      </c>
      <c r="E10" s="121"/>
      <c r="H10" s="85">
        <f t="shared" si="0"/>
        <v>2.4631655157021237</v>
      </c>
      <c r="I10" s="85">
        <f t="shared" si="1"/>
        <v>-17.211658629563068</v>
      </c>
      <c r="S10" s="75"/>
      <c r="T10" s="75"/>
      <c r="W10" s="75"/>
    </row>
    <row r="11" spans="1:23" x14ac:dyDescent="0.25">
      <c r="A11" s="85">
        <v>1.0032000000000001</v>
      </c>
      <c r="B11" s="85">
        <v>-0.43187900000000001</v>
      </c>
      <c r="D11" s="84" t="s">
        <v>27</v>
      </c>
      <c r="E11" s="84">
        <f>E6*(G6/F6)</f>
        <v>0.25956899483417151</v>
      </c>
      <c r="H11" s="85">
        <f t="shared" si="0"/>
        <v>2.3821696065540685</v>
      </c>
      <c r="I11" s="85">
        <f t="shared" si="1"/>
        <v>-44.317859940680066</v>
      </c>
      <c r="S11" s="75"/>
      <c r="T11" s="75"/>
      <c r="W11" s="75"/>
    </row>
    <row r="12" spans="1:23" x14ac:dyDescent="0.25">
      <c r="A12" s="85">
        <v>1.0710900000000001</v>
      </c>
      <c r="B12" s="85">
        <v>3.9186800000000002</v>
      </c>
      <c r="D12" s="90"/>
      <c r="E12" s="91"/>
      <c r="H12" s="85">
        <f t="shared" si="0"/>
        <v>2.3997917456133608</v>
      </c>
      <c r="I12" s="85">
        <f t="shared" si="1"/>
        <v>-38.420410873215204</v>
      </c>
      <c r="S12" s="75"/>
      <c r="T12" s="75"/>
      <c r="W12" s="75"/>
    </row>
    <row r="13" spans="1:23" x14ac:dyDescent="0.25">
      <c r="A13" s="85">
        <v>1.0472900000000001</v>
      </c>
      <c r="B13" s="85">
        <v>2.7407699999999999</v>
      </c>
      <c r="D13" s="121" t="s">
        <v>112</v>
      </c>
      <c r="E13" s="121"/>
      <c r="H13" s="85">
        <f t="shared" si="0"/>
        <v>2.3936140035363076</v>
      </c>
      <c r="I13" s="85">
        <f t="shared" si="1"/>
        <v>-40.487862453796495</v>
      </c>
      <c r="S13" s="75"/>
      <c r="T13" s="75"/>
      <c r="W13" s="75"/>
    </row>
    <row r="14" spans="1:23" x14ac:dyDescent="0.25">
      <c r="A14" s="85">
        <v>1.4408700000000001</v>
      </c>
      <c r="B14" s="85">
        <v>5.4681600000000001</v>
      </c>
      <c r="D14" s="84" t="s">
        <v>96</v>
      </c>
      <c r="E14" s="84">
        <f>D6-(E11*C6)</f>
        <v>2.1217699909364276</v>
      </c>
      <c r="H14" s="85">
        <f t="shared" si="0"/>
        <v>2.4957751685231404</v>
      </c>
      <c r="I14" s="85">
        <f t="shared" si="1"/>
        <v>-6.2984677863518392</v>
      </c>
      <c r="S14" s="75"/>
      <c r="T14" s="75"/>
      <c r="W14" s="75"/>
    </row>
    <row r="15" spans="1:23" x14ac:dyDescent="0.25">
      <c r="A15" s="87">
        <v>2.1596799999999998</v>
      </c>
      <c r="B15" s="85">
        <v>5.1539200000000003</v>
      </c>
      <c r="H15" s="85">
        <f t="shared" si="0"/>
        <v>2.6823559576998912</v>
      </c>
      <c r="I15" s="85">
        <f t="shared" si="1"/>
        <v>56.142913332876475</v>
      </c>
      <c r="S15" s="75"/>
      <c r="T15" s="92"/>
      <c r="W15" s="75"/>
    </row>
    <row r="16" spans="1:23" x14ac:dyDescent="0.25">
      <c r="A16" s="85">
        <v>1.98302</v>
      </c>
      <c r="B16" s="85">
        <v>1.16337</v>
      </c>
      <c r="H16" s="85">
        <f t="shared" si="0"/>
        <v>2.6365004990724863</v>
      </c>
      <c r="I16" s="85">
        <f t="shared" si="1"/>
        <v>40.796863071301289</v>
      </c>
      <c r="S16" s="75"/>
      <c r="T16" s="75"/>
      <c r="W16" s="75"/>
    </row>
    <row r="17" spans="1:23" x14ac:dyDescent="0.25">
      <c r="A17" s="85">
        <v>1.8041400000000001</v>
      </c>
      <c r="B17" s="85">
        <v>2.7423299999999999</v>
      </c>
      <c r="D17" s="89" t="s">
        <v>114</v>
      </c>
      <c r="E17" s="88"/>
      <c r="H17" s="85">
        <f t="shared" si="0"/>
        <v>2.5900687972765501</v>
      </c>
      <c r="I17" s="85">
        <f t="shared" si="1"/>
        <v>25.257966485823115</v>
      </c>
      <c r="S17" s="75"/>
      <c r="T17" s="75"/>
      <c r="W17" s="75"/>
    </row>
    <row r="18" spans="1:23" x14ac:dyDescent="0.25">
      <c r="A18" s="85">
        <v>1.60971</v>
      </c>
      <c r="B18" s="85">
        <v>-3.0000000000000001E-3</v>
      </c>
      <c r="D18" s="121" t="s">
        <v>115</v>
      </c>
      <c r="E18" s="121"/>
      <c r="H18" s="85">
        <f t="shared" si="0"/>
        <v>2.5396007976109418</v>
      </c>
      <c r="I18" s="85">
        <f t="shared" si="1"/>
        <v>8.3682769558895131</v>
      </c>
      <c r="S18" s="75"/>
      <c r="T18" s="75"/>
      <c r="W18" s="75"/>
    </row>
    <row r="19" spans="1:23" x14ac:dyDescent="0.25">
      <c r="A19" s="85">
        <v>1.35405</v>
      </c>
      <c r="B19" s="85">
        <v>1.63781</v>
      </c>
      <c r="D19" s="84" t="s">
        <v>27</v>
      </c>
      <c r="E19" s="84">
        <f>E6*(F6/G6)</f>
        <v>1.1511756900883921E-2</v>
      </c>
      <c r="H19" s="85">
        <f t="shared" si="0"/>
        <v>2.4732393883916375</v>
      </c>
      <c r="I19" s="85">
        <f t="shared" si="1"/>
        <v>-13.840322669800056</v>
      </c>
      <c r="S19" s="75"/>
      <c r="T19" s="75"/>
      <c r="W19" s="75"/>
    </row>
    <row r="20" spans="1:23" x14ac:dyDescent="0.25">
      <c r="A20" s="85">
        <v>1.43868</v>
      </c>
      <c r="B20" s="85">
        <v>3.81745</v>
      </c>
      <c r="D20" s="90"/>
      <c r="E20" s="91"/>
      <c r="H20" s="85">
        <f t="shared" si="0"/>
        <v>2.4952067124244532</v>
      </c>
      <c r="I20" s="85">
        <f t="shared" si="1"/>
        <v>-6.488708078850717</v>
      </c>
      <c r="S20" s="75"/>
      <c r="T20" s="75"/>
      <c r="W20" s="75"/>
    </row>
    <row r="21" spans="1:23" x14ac:dyDescent="0.25">
      <c r="A21" s="85">
        <v>1.79559</v>
      </c>
      <c r="B21" s="85">
        <v>4.2461700000000002</v>
      </c>
      <c r="D21" s="121" t="s">
        <v>116</v>
      </c>
      <c r="E21" s="121"/>
      <c r="H21" s="85">
        <f t="shared" si="0"/>
        <v>2.5878494823707179</v>
      </c>
      <c r="I21" s="85">
        <f t="shared" si="1"/>
        <v>24.515247535656304</v>
      </c>
      <c r="S21" s="75"/>
      <c r="T21" s="75"/>
      <c r="W21" s="75"/>
    </row>
    <row r="22" spans="1:23" x14ac:dyDescent="0.25">
      <c r="A22" s="85">
        <v>1.09911</v>
      </c>
      <c r="B22" s="85">
        <v>4.3758400000000002</v>
      </c>
      <c r="D22" s="84" t="s">
        <v>96</v>
      </c>
      <c r="E22" s="84">
        <f>C6-(E19*D6)</f>
        <v>1.5133764300045309</v>
      </c>
      <c r="H22" s="85">
        <f t="shared" si="0"/>
        <v>2.4070648688486145</v>
      </c>
      <c r="I22" s="85">
        <f t="shared" si="1"/>
        <v>-35.986377541791356</v>
      </c>
      <c r="S22" s="75"/>
      <c r="T22" s="75"/>
      <c r="W22" s="75"/>
    </row>
    <row r="23" spans="1:23" x14ac:dyDescent="0.25">
      <c r="A23" s="85">
        <v>1.4523900000000001</v>
      </c>
      <c r="B23" s="85">
        <v>5.0537799999999997</v>
      </c>
      <c r="H23" s="85">
        <f t="shared" si="0"/>
        <v>2.4987654033436302</v>
      </c>
      <c r="I23" s="85">
        <f t="shared" si="1"/>
        <v>-5.2977517271797225</v>
      </c>
      <c r="S23" s="75"/>
      <c r="T23" s="75"/>
      <c r="W23" s="75"/>
    </row>
    <row r="24" spans="1:23" x14ac:dyDescent="0.25">
      <c r="A24" s="85">
        <v>1.43075</v>
      </c>
      <c r="B24" s="85">
        <v>5.10623</v>
      </c>
      <c r="H24" s="85">
        <f t="shared" si="0"/>
        <v>2.4931483302954183</v>
      </c>
      <c r="I24" s="85">
        <f t="shared" si="1"/>
        <v>-7.1775690466662461</v>
      </c>
      <c r="S24" s="75"/>
      <c r="T24" s="75"/>
      <c r="W24" s="75"/>
    </row>
    <row r="25" spans="1:23" x14ac:dyDescent="0.25">
      <c r="A25" s="85">
        <v>1.2312099999999999</v>
      </c>
      <c r="B25" s="85">
        <v>-1.6568700000000001</v>
      </c>
      <c r="H25" s="85">
        <f t="shared" si="0"/>
        <v>2.4413539330662077</v>
      </c>
      <c r="I25" s="85">
        <f t="shared" si="1"/>
        <v>-24.511152592430534</v>
      </c>
      <c r="S25" s="75"/>
      <c r="T25" s="75"/>
      <c r="W25" s="75"/>
    </row>
    <row r="26" spans="1:23" x14ac:dyDescent="0.25">
      <c r="A26" s="85">
        <v>1.0301</v>
      </c>
      <c r="B26" s="85">
        <v>2.9357099999999998</v>
      </c>
      <c r="H26" s="85">
        <f t="shared" si="0"/>
        <v>2.3891520125151082</v>
      </c>
      <c r="I26" s="85">
        <f t="shared" si="1"/>
        <v>-41.9811184483424</v>
      </c>
      <c r="S26" s="75"/>
      <c r="T26" s="75"/>
      <c r="W26" s="75"/>
    </row>
    <row r="27" spans="1:23" x14ac:dyDescent="0.25">
      <c r="A27" s="85">
        <v>1.6012599999999999</v>
      </c>
      <c r="B27" s="85">
        <v>1.49274</v>
      </c>
      <c r="H27" s="85">
        <f t="shared" si="0"/>
        <v>2.5374074396045936</v>
      </c>
      <c r="I27" s="85">
        <f t="shared" si="1"/>
        <v>7.6342447770696804</v>
      </c>
      <c r="S27" s="75"/>
      <c r="T27" s="75"/>
      <c r="W27" s="75"/>
    </row>
    <row r="28" spans="1:23" x14ac:dyDescent="0.25">
      <c r="A28" s="87">
        <v>2.9899100000000001</v>
      </c>
      <c r="B28" s="85">
        <v>3.99708</v>
      </c>
      <c r="H28" s="85">
        <f t="shared" si="0"/>
        <v>2.8978579242810651</v>
      </c>
      <c r="I28" s="85">
        <f t="shared" si="1"/>
        <v>128.26309508691017</v>
      </c>
      <c r="S28" s="75"/>
      <c r="T28" s="92"/>
      <c r="W28" s="75"/>
    </row>
    <row r="29" spans="1:23" x14ac:dyDescent="0.25">
      <c r="A29" s="85">
        <v>1.8061400000000001</v>
      </c>
      <c r="B29" s="85">
        <v>4.6470500000000001</v>
      </c>
      <c r="H29" s="85">
        <f t="shared" si="0"/>
        <v>2.5905879352662184</v>
      </c>
      <c r="I29" s="85">
        <f t="shared" si="1"/>
        <v>25.431701912762719</v>
      </c>
      <c r="S29" s="75"/>
      <c r="T29" s="75"/>
      <c r="W29" s="75"/>
    </row>
    <row r="30" spans="1:23" x14ac:dyDescent="0.25">
      <c r="A30" s="85">
        <v>1.1653800000000001</v>
      </c>
      <c r="B30" s="85">
        <v>5.2593199999999998</v>
      </c>
      <c r="H30" s="85">
        <f t="shared" si="0"/>
        <v>2.4242665061362745</v>
      </c>
      <c r="I30" s="85">
        <f t="shared" si="1"/>
        <v>-30.22965417014758</v>
      </c>
      <c r="S30" s="75"/>
      <c r="T30" s="75"/>
      <c r="W30" s="75"/>
    </row>
    <row r="31" spans="1:23" x14ac:dyDescent="0.25">
      <c r="A31" s="85">
        <v>1.83894</v>
      </c>
      <c r="B31" s="85">
        <v>2.8339300000000001</v>
      </c>
      <c r="H31" s="85">
        <f t="shared" si="0"/>
        <v>2.599101798296779</v>
      </c>
      <c r="I31" s="85">
        <f t="shared" si="1"/>
        <v>28.280962914572218</v>
      </c>
      <c r="S31" s="75"/>
      <c r="T31" s="75"/>
      <c r="W31" s="75"/>
    </row>
    <row r="32" spans="1:23" x14ac:dyDescent="0.25">
      <c r="A32" s="85">
        <v>1.38235</v>
      </c>
      <c r="B32" s="85">
        <v>1.0916300000000001</v>
      </c>
      <c r="H32" s="85">
        <f t="shared" si="0"/>
        <v>2.4805851909454448</v>
      </c>
      <c r="I32" s="85">
        <f t="shared" si="1"/>
        <v>-11.381966378604661</v>
      </c>
      <c r="S32" s="75"/>
      <c r="T32" s="75"/>
      <c r="W32" s="75"/>
    </row>
    <row r="33" spans="1:23" x14ac:dyDescent="0.25">
      <c r="A33" s="85">
        <v>1.16568</v>
      </c>
      <c r="B33" s="85">
        <v>-0.74036199999999996</v>
      </c>
      <c r="H33" s="85">
        <f t="shared" si="0"/>
        <v>2.4243443768347248</v>
      </c>
      <c r="I33" s="85">
        <f t="shared" si="1"/>
        <v>-30.203593856106647</v>
      </c>
      <c r="S33" s="75"/>
      <c r="T33" s="75"/>
      <c r="W33" s="75"/>
    </row>
    <row r="34" spans="1:23" x14ac:dyDescent="0.25">
      <c r="A34" s="85">
        <v>1.19563</v>
      </c>
      <c r="B34" s="85">
        <v>2.7600500000000001</v>
      </c>
      <c r="H34" s="85">
        <f t="shared" si="0"/>
        <v>2.4321184682300085</v>
      </c>
      <c r="I34" s="85">
        <f t="shared" si="1"/>
        <v>-27.601905837686083</v>
      </c>
      <c r="S34" s="75"/>
      <c r="T34" s="75"/>
      <c r="W34" s="75"/>
    </row>
    <row r="35" spans="1:23" x14ac:dyDescent="0.25">
      <c r="A35" s="85">
        <v>1.46665</v>
      </c>
      <c r="B35" s="85">
        <v>1.9047400000000001</v>
      </c>
      <c r="H35" s="85">
        <f t="shared" si="0"/>
        <v>2.5024668572099653</v>
      </c>
      <c r="I35" s="85">
        <f t="shared" si="1"/>
        <v>-4.0590181331003521</v>
      </c>
      <c r="S35" s="75"/>
      <c r="T35" s="75"/>
      <c r="W35" s="75"/>
    </row>
    <row r="36" spans="1:23" ht="14.1" customHeight="1" x14ac:dyDescent="0.25">
      <c r="A36" s="85">
        <v>1.59293</v>
      </c>
      <c r="B36" s="85">
        <v>3.0217100000000001</v>
      </c>
      <c r="H36" s="85">
        <f t="shared" si="0"/>
        <v>2.5352452298776242</v>
      </c>
      <c r="I36" s="85">
        <f t="shared" si="1"/>
        <v>6.9106367238662347</v>
      </c>
      <c r="S36" s="75"/>
      <c r="T36" s="75"/>
      <c r="W36" s="75"/>
    </row>
    <row r="37" spans="1:23" x14ac:dyDescent="0.25">
      <c r="A37" s="85">
        <v>1.7760800000000001</v>
      </c>
      <c r="B37" s="85">
        <v>3.7261500000000001</v>
      </c>
      <c r="H37" s="85">
        <f t="shared" si="0"/>
        <v>2.5827852912815032</v>
      </c>
      <c r="I37" s="85">
        <f t="shared" si="1"/>
        <v>22.820458445860474</v>
      </c>
      <c r="S37" s="75"/>
      <c r="T37" s="75"/>
      <c r="W37" s="75"/>
    </row>
    <row r="38" spans="1:23" x14ac:dyDescent="0.25">
      <c r="A38" s="85">
        <v>1.2785299999999999</v>
      </c>
      <c r="B38" s="85">
        <v>1.72692</v>
      </c>
      <c r="H38" s="85">
        <f t="shared" si="0"/>
        <v>2.4536367379017614</v>
      </c>
      <c r="I38" s="85">
        <f t="shared" si="1"/>
        <v>-20.4005723910395</v>
      </c>
      <c r="S38" s="75"/>
      <c r="T38" s="75"/>
      <c r="W38" s="75"/>
    </row>
    <row r="39" spans="1:23" x14ac:dyDescent="0.25">
      <c r="A39" s="85">
        <v>1.64323</v>
      </c>
      <c r="B39" s="85">
        <v>3.8111799999999998</v>
      </c>
      <c r="H39" s="85">
        <f t="shared" si="0"/>
        <v>2.5483015503177837</v>
      </c>
      <c r="I39" s="85">
        <f t="shared" si="1"/>
        <v>11.280082711397274</v>
      </c>
      <c r="S39" s="75"/>
      <c r="T39" s="75"/>
      <c r="W39" s="75"/>
    </row>
    <row r="40" spans="1:23" x14ac:dyDescent="0.25">
      <c r="A40" s="85">
        <v>1.33144</v>
      </c>
      <c r="B40" s="85">
        <v>0.27818100000000001</v>
      </c>
      <c r="H40" s="85">
        <f t="shared" si="0"/>
        <v>2.4673705334184373</v>
      </c>
      <c r="I40" s="85">
        <f t="shared" si="1"/>
        <v>-15.804401671352277</v>
      </c>
      <c r="S40" s="75"/>
      <c r="T40" s="75"/>
      <c r="W40" s="75"/>
    </row>
    <row r="41" spans="1:23" x14ac:dyDescent="0.25">
      <c r="A41" s="85">
        <v>1.39706</v>
      </c>
      <c r="B41" s="85">
        <v>5.4249200000000002</v>
      </c>
      <c r="H41" s="85">
        <f t="shared" si="0"/>
        <v>2.484403450859455</v>
      </c>
      <c r="I41" s="85">
        <f t="shared" si="1"/>
        <v>-10.104142313463873</v>
      </c>
      <c r="S41" s="75"/>
      <c r="T41" s="75"/>
      <c r="W41" s="75"/>
    </row>
    <row r="42" spans="1:23" x14ac:dyDescent="0.25">
      <c r="A42" s="85">
        <v>1.1195900000000001</v>
      </c>
      <c r="B42" s="85">
        <v>6.4695099999999996</v>
      </c>
      <c r="H42" s="85">
        <f t="shared" si="0"/>
        <v>2.4123808418628183</v>
      </c>
      <c r="I42" s="85">
        <f t="shared" si="1"/>
        <v>-34.207326769929807</v>
      </c>
      <c r="S42" s="75"/>
      <c r="T42" s="75"/>
      <c r="W42" s="75"/>
    </row>
    <row r="43" spans="1:23" x14ac:dyDescent="0.25">
      <c r="A43" s="85">
        <v>1.2020200000000001</v>
      </c>
      <c r="B43" s="85">
        <v>3.1700400000000002</v>
      </c>
      <c r="H43" s="85">
        <f t="shared" si="0"/>
        <v>2.4337771141069986</v>
      </c>
      <c r="I43" s="85">
        <f t="shared" si="1"/>
        <v>-27.046821148614036</v>
      </c>
      <c r="S43" s="75"/>
      <c r="T43" s="75"/>
      <c r="W43" s="75"/>
    </row>
    <row r="44" spans="1:23" x14ac:dyDescent="0.25">
      <c r="A44" s="85">
        <v>1.96417</v>
      </c>
      <c r="B44" s="85">
        <v>1.5833200000000001</v>
      </c>
      <c r="H44" s="85">
        <f t="shared" si="0"/>
        <v>2.6316076235198622</v>
      </c>
      <c r="I44" s="85">
        <f t="shared" si="1"/>
        <v>39.159406672395519</v>
      </c>
      <c r="S44" s="75"/>
      <c r="T44" s="75"/>
      <c r="W44" s="75"/>
    </row>
    <row r="45" spans="1:23" x14ac:dyDescent="0.25">
      <c r="A45" s="85">
        <v>1.6327499999999999</v>
      </c>
      <c r="B45" s="85">
        <v>2.7949199999999998</v>
      </c>
      <c r="H45" s="85">
        <f t="shared" si="0"/>
        <v>2.5455812672519214</v>
      </c>
      <c r="I45" s="85">
        <f t="shared" si="1"/>
        <v>10.369709074233747</v>
      </c>
      <c r="S45" s="75"/>
      <c r="T45" s="75"/>
      <c r="W45" s="75"/>
    </row>
    <row r="46" spans="1:23" x14ac:dyDescent="0.25">
      <c r="A46" s="85">
        <v>1.00892</v>
      </c>
      <c r="B46" s="85">
        <v>1.7513700000000001</v>
      </c>
      <c r="H46" s="85">
        <f t="shared" si="0"/>
        <v>2.3836543412045197</v>
      </c>
      <c r="I46" s="85">
        <f t="shared" si="1"/>
        <v>-43.820976619632802</v>
      </c>
      <c r="S46" s="75"/>
      <c r="T46" s="75"/>
      <c r="W46" s="75"/>
    </row>
    <row r="47" spans="1:23" x14ac:dyDescent="0.25">
      <c r="A47" s="85">
        <v>1.80463</v>
      </c>
      <c r="B47" s="85">
        <v>1.25841</v>
      </c>
      <c r="H47" s="85">
        <f t="shared" si="0"/>
        <v>2.5901959860840185</v>
      </c>
      <c r="I47" s="85">
        <f t="shared" si="1"/>
        <v>25.300531665423307</v>
      </c>
      <c r="S47" s="75"/>
      <c r="T47" s="75"/>
      <c r="W47" s="75"/>
    </row>
    <row r="48" spans="1:23" x14ac:dyDescent="0.25">
      <c r="A48" s="85">
        <v>1.7030099999999999</v>
      </c>
      <c r="B48" s="85">
        <v>1.5901099999999999</v>
      </c>
      <c r="H48" s="85">
        <f t="shared" si="0"/>
        <v>2.5638185848289705</v>
      </c>
      <c r="I48" s="85">
        <f t="shared" si="1"/>
        <v>16.473034622622031</v>
      </c>
      <c r="S48" s="75"/>
      <c r="T48" s="75"/>
      <c r="W48" s="75"/>
    </row>
    <row r="49" spans="1:23" x14ac:dyDescent="0.25">
      <c r="A49" s="87">
        <v>2.1029599999999999</v>
      </c>
      <c r="B49" s="85">
        <v>-0.13830100000000001</v>
      </c>
      <c r="H49" s="85">
        <f t="shared" si="0"/>
        <v>2.6676332043128967</v>
      </c>
      <c r="I49" s="85">
        <f t="shared" si="1"/>
        <v>51.215776624869321</v>
      </c>
      <c r="S49" s="75"/>
      <c r="T49" s="92"/>
      <c r="W49" s="75"/>
    </row>
    <row r="50" spans="1:23" x14ac:dyDescent="0.25">
      <c r="A50" s="85">
        <v>1.5667199999999999</v>
      </c>
      <c r="B50" s="85">
        <v>3.7054800000000001</v>
      </c>
      <c r="H50" s="85">
        <f t="shared" si="0"/>
        <v>2.5284419265230209</v>
      </c>
      <c r="I50" s="85">
        <f t="shared" si="1"/>
        <v>4.6338339538227196</v>
      </c>
      <c r="S50" s="75"/>
      <c r="T50" s="75"/>
      <c r="W50" s="75"/>
    </row>
    <row r="51" spans="1:23" x14ac:dyDescent="0.25">
      <c r="A51" s="85">
        <v>1.63835</v>
      </c>
      <c r="B51" s="85">
        <v>-0.60269700000000004</v>
      </c>
      <c r="H51" s="85">
        <f t="shared" si="0"/>
        <v>2.5470348536229928</v>
      </c>
      <c r="I51" s="85">
        <f t="shared" si="1"/>
        <v>10.856168269664641</v>
      </c>
      <c r="S51" s="75"/>
      <c r="T51" s="75"/>
      <c r="W51" s="75"/>
    </row>
    <row r="52" spans="1:23" x14ac:dyDescent="0.25">
      <c r="A52" s="85">
        <v>1.60833</v>
      </c>
      <c r="B52" s="85">
        <v>4.6064499999999997</v>
      </c>
      <c r="H52" s="85">
        <f t="shared" si="0"/>
        <v>2.5392425923980708</v>
      </c>
      <c r="I52" s="85">
        <f t="shared" si="1"/>
        <v>8.2483995113011908</v>
      </c>
      <c r="S52" s="75"/>
      <c r="T52" s="75"/>
      <c r="W52" s="75"/>
    </row>
    <row r="53" spans="1:23" x14ac:dyDescent="0.25">
      <c r="A53" s="85">
        <v>1.28857</v>
      </c>
      <c r="B53" s="85">
        <v>-0.73702800000000002</v>
      </c>
      <c r="H53" s="85">
        <f t="shared" si="0"/>
        <v>2.4562428106098961</v>
      </c>
      <c r="I53" s="85">
        <f t="shared" si="1"/>
        <v>-19.528420547802686</v>
      </c>
      <c r="S53" s="75"/>
      <c r="T53" s="75"/>
      <c r="W53" s="75"/>
    </row>
    <row r="54" spans="1:23" x14ac:dyDescent="0.25">
      <c r="A54" s="85">
        <v>1.6846699999999999</v>
      </c>
      <c r="B54" s="85">
        <v>0.42441400000000001</v>
      </c>
      <c r="H54" s="85">
        <f t="shared" si="0"/>
        <v>2.5590580894637114</v>
      </c>
      <c r="I54" s="85">
        <f t="shared" si="1"/>
        <v>14.879880757585861</v>
      </c>
      <c r="S54" s="75"/>
      <c r="T54" s="75"/>
      <c r="W54" s="75"/>
    </row>
    <row r="55" spans="1:23" x14ac:dyDescent="0.25">
      <c r="A55" s="85">
        <v>1.4887300000000001</v>
      </c>
      <c r="B55" s="85">
        <v>2.4750100000000002</v>
      </c>
      <c r="H55" s="85">
        <f t="shared" si="0"/>
        <v>2.508198140615904</v>
      </c>
      <c r="I55" s="85">
        <f t="shared" si="1"/>
        <v>-2.1409790196871166</v>
      </c>
      <c r="S55" s="75"/>
      <c r="T55" s="75"/>
      <c r="W55" s="75"/>
    </row>
  </sheetData>
  <mergeCells count="14">
    <mergeCell ref="H4:H5"/>
    <mergeCell ref="I4:I5"/>
    <mergeCell ref="D10:E10"/>
    <mergeCell ref="A4:A5"/>
    <mergeCell ref="B4:B5"/>
    <mergeCell ref="C4:C5"/>
    <mergeCell ref="D4:D5"/>
    <mergeCell ref="E4:E5"/>
    <mergeCell ref="F4:F5"/>
    <mergeCell ref="D13:E13"/>
    <mergeCell ref="D18:E18"/>
    <mergeCell ref="D21:E21"/>
    <mergeCell ref="G4:G5"/>
    <mergeCell ref="A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4-1</vt:lpstr>
      <vt:lpstr>4-2</vt:lpstr>
      <vt:lpstr>4-3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Зименкова</dc:creator>
  <cp:lastModifiedBy>ilya</cp:lastModifiedBy>
  <dcterms:created xsi:type="dcterms:W3CDTF">2023-10-17T10:57:25Z</dcterms:created>
  <dcterms:modified xsi:type="dcterms:W3CDTF">2024-12-15T12:28:54Z</dcterms:modified>
</cp:coreProperties>
</file>