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cal\Documents\GitHub\CompareSheets\compare-sheets\"/>
    </mc:Choice>
  </mc:AlternateContent>
  <xr:revisionPtr revIDLastSave="0" documentId="13_ncr:1_{89726006-FF89-4AA7-ACD4-DF4C5A0B86E9}" xr6:coauthVersionLast="47" xr6:coauthVersionMax="47" xr10:uidLastSave="{00000000-0000-0000-0000-000000000000}"/>
  <bookViews>
    <workbookView minimized="1" xWindow="4755" yWindow="5130" windowWidth="21600" windowHeight="11385" xr2:uid="{00000000-000D-0000-FFFF-FFFF00000000}"/>
  </bookViews>
  <sheets>
    <sheet name="gotoexcel_saulo_ZETA_215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6" i="1" l="1"/>
  <c r="C749" i="1"/>
  <c r="C117" i="1"/>
  <c r="C3" i="1"/>
  <c r="B3" i="1"/>
  <c r="C4" i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C116" i="1"/>
  <c r="B116" i="1"/>
  <c r="B117" i="1"/>
  <c r="C118" i="1"/>
  <c r="B118" i="1"/>
  <c r="C119" i="1"/>
  <c r="B119" i="1"/>
  <c r="C120" i="1"/>
  <c r="B120" i="1"/>
  <c r="C121" i="1"/>
  <c r="B121" i="1"/>
  <c r="C122" i="1"/>
  <c r="B122" i="1"/>
  <c r="C123" i="1"/>
  <c r="B123" i="1"/>
  <c r="C124" i="1"/>
  <c r="B124" i="1"/>
  <c r="C125" i="1"/>
  <c r="B125" i="1"/>
  <c r="C126" i="1"/>
  <c r="B126" i="1"/>
  <c r="C127" i="1"/>
  <c r="B127" i="1"/>
  <c r="C128" i="1"/>
  <c r="B128" i="1"/>
  <c r="C129" i="1"/>
  <c r="B129" i="1"/>
  <c r="C130" i="1"/>
  <c r="B130" i="1"/>
  <c r="C131" i="1"/>
  <c r="B131" i="1"/>
  <c r="C132" i="1"/>
  <c r="B132" i="1"/>
  <c r="C133" i="1"/>
  <c r="B133" i="1"/>
  <c r="C134" i="1"/>
  <c r="B134" i="1"/>
  <c r="C135" i="1"/>
  <c r="B135" i="1"/>
  <c r="C136" i="1"/>
  <c r="B136" i="1"/>
  <c r="C137" i="1"/>
  <c r="B137" i="1"/>
  <c r="C138" i="1"/>
  <c r="B138" i="1"/>
  <c r="C139" i="1"/>
  <c r="B139" i="1"/>
  <c r="C140" i="1"/>
  <c r="B140" i="1"/>
  <c r="C141" i="1"/>
  <c r="B141" i="1"/>
  <c r="C142" i="1"/>
  <c r="B142" i="1"/>
  <c r="C143" i="1"/>
  <c r="B143" i="1"/>
  <c r="C144" i="1"/>
  <c r="B144" i="1"/>
  <c r="C145" i="1"/>
  <c r="B145" i="1"/>
  <c r="C146" i="1"/>
  <c r="B146" i="1"/>
  <c r="C147" i="1"/>
  <c r="B147" i="1"/>
  <c r="C148" i="1"/>
  <c r="B148" i="1"/>
  <c r="C149" i="1"/>
  <c r="B149" i="1"/>
  <c r="C150" i="1"/>
  <c r="B150" i="1"/>
  <c r="C151" i="1"/>
  <c r="B151" i="1"/>
  <c r="C152" i="1"/>
  <c r="B152" i="1"/>
  <c r="C153" i="1"/>
  <c r="B153" i="1"/>
  <c r="C154" i="1"/>
  <c r="B154" i="1"/>
  <c r="C155" i="1"/>
  <c r="B155" i="1"/>
  <c r="C156" i="1"/>
  <c r="B156" i="1"/>
  <c r="C157" i="1"/>
  <c r="B157" i="1"/>
  <c r="C158" i="1"/>
  <c r="B158" i="1"/>
  <c r="C159" i="1"/>
  <c r="B159" i="1"/>
  <c r="C160" i="1"/>
  <c r="B160" i="1"/>
  <c r="C161" i="1"/>
  <c r="B161" i="1"/>
  <c r="C162" i="1"/>
  <c r="B162" i="1"/>
  <c r="C163" i="1"/>
  <c r="B163" i="1"/>
  <c r="C164" i="1"/>
  <c r="B164" i="1"/>
  <c r="C165" i="1"/>
  <c r="B165" i="1"/>
  <c r="C166" i="1"/>
  <c r="B166" i="1"/>
  <c r="C167" i="1"/>
  <c r="B167" i="1"/>
  <c r="C168" i="1"/>
  <c r="B168" i="1"/>
  <c r="C169" i="1"/>
  <c r="B169" i="1"/>
  <c r="C170" i="1"/>
  <c r="B170" i="1"/>
  <c r="C171" i="1"/>
  <c r="B171" i="1"/>
  <c r="C172" i="1"/>
  <c r="B172" i="1"/>
  <c r="C173" i="1"/>
  <c r="B173" i="1"/>
  <c r="C174" i="1"/>
  <c r="B174" i="1"/>
  <c r="C175" i="1"/>
  <c r="B175" i="1"/>
  <c r="C176" i="1"/>
  <c r="B176" i="1"/>
  <c r="C177" i="1"/>
  <c r="B177" i="1"/>
  <c r="C178" i="1"/>
  <c r="B178" i="1"/>
  <c r="C179" i="1"/>
  <c r="B179" i="1"/>
  <c r="C180" i="1"/>
  <c r="B180" i="1"/>
  <c r="C181" i="1"/>
  <c r="B181" i="1"/>
  <c r="C182" i="1"/>
  <c r="B182" i="1"/>
  <c r="C183" i="1"/>
  <c r="B183" i="1"/>
  <c r="C184" i="1"/>
  <c r="B184" i="1"/>
  <c r="C185" i="1"/>
  <c r="B185" i="1"/>
  <c r="C186" i="1"/>
  <c r="B186" i="1"/>
  <c r="C187" i="1"/>
  <c r="B187" i="1"/>
  <c r="C188" i="1"/>
  <c r="B188" i="1"/>
  <c r="C189" i="1"/>
  <c r="B189" i="1"/>
  <c r="C190" i="1"/>
  <c r="B190" i="1"/>
  <c r="C191" i="1"/>
  <c r="B191" i="1"/>
  <c r="C192" i="1"/>
  <c r="B192" i="1"/>
  <c r="C193" i="1"/>
  <c r="B193" i="1"/>
  <c r="C194" i="1"/>
  <c r="B194" i="1"/>
  <c r="C195" i="1"/>
  <c r="B195" i="1"/>
  <c r="C196" i="1"/>
  <c r="B196" i="1"/>
  <c r="C197" i="1"/>
  <c r="B197" i="1"/>
  <c r="C198" i="1"/>
  <c r="B198" i="1"/>
  <c r="C199" i="1"/>
  <c r="B199" i="1"/>
  <c r="C200" i="1"/>
  <c r="B200" i="1"/>
  <c r="C201" i="1"/>
  <c r="B201" i="1"/>
  <c r="C202" i="1"/>
  <c r="B202" i="1"/>
  <c r="C203" i="1"/>
  <c r="B203" i="1"/>
  <c r="C204" i="1"/>
  <c r="B204" i="1"/>
  <c r="C205" i="1"/>
  <c r="B205" i="1"/>
  <c r="C206" i="1"/>
  <c r="B206" i="1"/>
  <c r="C207" i="1"/>
  <c r="B207" i="1"/>
  <c r="C208" i="1"/>
  <c r="B208" i="1"/>
  <c r="C209" i="1"/>
  <c r="B209" i="1"/>
  <c r="C210" i="1"/>
  <c r="B210" i="1"/>
  <c r="C211" i="1"/>
  <c r="B211" i="1"/>
  <c r="C212" i="1"/>
  <c r="B212" i="1"/>
  <c r="C213" i="1"/>
  <c r="B213" i="1"/>
  <c r="C214" i="1"/>
  <c r="B214" i="1"/>
  <c r="C215" i="1"/>
  <c r="B215" i="1"/>
  <c r="C216" i="1"/>
  <c r="B216" i="1"/>
  <c r="C217" i="1"/>
  <c r="B217" i="1"/>
  <c r="C218" i="1"/>
  <c r="B218" i="1"/>
  <c r="C219" i="1"/>
  <c r="B219" i="1"/>
  <c r="C220" i="1"/>
  <c r="B220" i="1"/>
  <c r="C221" i="1"/>
  <c r="B221" i="1"/>
  <c r="C222" i="1"/>
  <c r="B222" i="1"/>
  <c r="C223" i="1"/>
  <c r="B223" i="1"/>
  <c r="C224" i="1"/>
  <c r="B224" i="1"/>
  <c r="C225" i="1"/>
  <c r="B225" i="1"/>
  <c r="C226" i="1"/>
  <c r="B226" i="1"/>
  <c r="C227" i="1"/>
  <c r="B227" i="1"/>
  <c r="C228" i="1"/>
  <c r="B228" i="1"/>
  <c r="C229" i="1"/>
  <c r="B229" i="1"/>
  <c r="C230" i="1"/>
  <c r="B230" i="1"/>
  <c r="C231" i="1"/>
  <c r="B231" i="1"/>
  <c r="C232" i="1"/>
  <c r="B232" i="1"/>
  <c r="C233" i="1"/>
  <c r="B233" i="1"/>
  <c r="C234" i="1"/>
  <c r="B234" i="1"/>
  <c r="C235" i="1"/>
  <c r="B235" i="1"/>
  <c r="C236" i="1"/>
  <c r="B236" i="1"/>
  <c r="C237" i="1"/>
  <c r="B237" i="1"/>
  <c r="C238" i="1"/>
  <c r="B238" i="1"/>
  <c r="C239" i="1"/>
  <c r="B239" i="1"/>
  <c r="C240" i="1"/>
  <c r="B240" i="1"/>
  <c r="C241" i="1"/>
  <c r="B241" i="1"/>
  <c r="C242" i="1"/>
  <c r="B242" i="1"/>
  <c r="C243" i="1"/>
  <c r="B243" i="1"/>
  <c r="C244" i="1"/>
  <c r="B244" i="1"/>
  <c r="C245" i="1"/>
  <c r="B245" i="1"/>
  <c r="C246" i="1"/>
  <c r="B246" i="1"/>
  <c r="C247" i="1"/>
  <c r="B247" i="1"/>
  <c r="C248" i="1"/>
  <c r="B248" i="1"/>
  <c r="C249" i="1"/>
  <c r="B249" i="1"/>
  <c r="C250" i="1"/>
  <c r="B250" i="1"/>
  <c r="C251" i="1"/>
  <c r="B251" i="1"/>
  <c r="C252" i="1"/>
  <c r="B252" i="1"/>
  <c r="C253" i="1"/>
  <c r="B253" i="1"/>
  <c r="C254" i="1"/>
  <c r="B254" i="1"/>
  <c r="C255" i="1"/>
  <c r="B255" i="1"/>
  <c r="C256" i="1"/>
  <c r="B256" i="1"/>
  <c r="C257" i="1"/>
  <c r="B257" i="1"/>
  <c r="C258" i="1"/>
  <c r="B258" i="1"/>
  <c r="C259" i="1"/>
  <c r="B259" i="1"/>
  <c r="C260" i="1"/>
  <c r="B260" i="1"/>
  <c r="C261" i="1"/>
  <c r="B261" i="1"/>
  <c r="C262" i="1"/>
  <c r="B262" i="1"/>
  <c r="C263" i="1"/>
  <c r="B263" i="1"/>
  <c r="C264" i="1"/>
  <c r="B264" i="1"/>
  <c r="C265" i="1"/>
  <c r="B265" i="1"/>
  <c r="C266" i="1"/>
  <c r="B266" i="1"/>
  <c r="C267" i="1"/>
  <c r="B267" i="1"/>
  <c r="C268" i="1"/>
  <c r="B268" i="1"/>
  <c r="C269" i="1"/>
  <c r="B269" i="1"/>
  <c r="C270" i="1"/>
  <c r="B270" i="1"/>
  <c r="C271" i="1"/>
  <c r="B271" i="1"/>
  <c r="C272" i="1"/>
  <c r="B272" i="1"/>
  <c r="C273" i="1"/>
  <c r="B273" i="1"/>
  <c r="C274" i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1" i="1"/>
  <c r="B301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C323" i="1"/>
  <c r="B323" i="1"/>
  <c r="C324" i="1"/>
  <c r="B324" i="1"/>
  <c r="C325" i="1"/>
  <c r="B325" i="1"/>
  <c r="C326" i="1"/>
  <c r="B326" i="1"/>
  <c r="C327" i="1"/>
  <c r="B327" i="1"/>
  <c r="C328" i="1"/>
  <c r="B328" i="1"/>
  <c r="C329" i="1"/>
  <c r="B329" i="1"/>
  <c r="C330" i="1"/>
  <c r="B330" i="1"/>
  <c r="C331" i="1"/>
  <c r="B331" i="1"/>
  <c r="C332" i="1"/>
  <c r="B332" i="1"/>
  <c r="C333" i="1"/>
  <c r="B333" i="1"/>
  <c r="C334" i="1"/>
  <c r="B334" i="1"/>
  <c r="C335" i="1"/>
  <c r="B335" i="1"/>
  <c r="C336" i="1"/>
  <c r="B336" i="1"/>
  <c r="C337" i="1"/>
  <c r="B337" i="1"/>
  <c r="C338" i="1"/>
  <c r="B338" i="1"/>
  <c r="C339" i="1"/>
  <c r="B339" i="1"/>
  <c r="C340" i="1"/>
  <c r="B340" i="1"/>
  <c r="C341" i="1"/>
  <c r="B341" i="1"/>
  <c r="C342" i="1"/>
  <c r="B342" i="1"/>
  <c r="C343" i="1"/>
  <c r="B343" i="1"/>
  <c r="C344" i="1"/>
  <c r="B344" i="1"/>
  <c r="C345" i="1"/>
  <c r="B345" i="1"/>
  <c r="C346" i="1"/>
  <c r="B346" i="1"/>
  <c r="C347" i="1"/>
  <c r="B347" i="1"/>
  <c r="C348" i="1"/>
  <c r="B348" i="1"/>
  <c r="C349" i="1"/>
  <c r="B349" i="1"/>
  <c r="C350" i="1"/>
  <c r="B350" i="1"/>
  <c r="C351" i="1"/>
  <c r="B351" i="1"/>
  <c r="C352" i="1"/>
  <c r="B352" i="1"/>
  <c r="C353" i="1"/>
  <c r="B353" i="1"/>
  <c r="C354" i="1"/>
  <c r="B354" i="1"/>
  <c r="C355" i="1"/>
  <c r="B355" i="1"/>
  <c r="C356" i="1"/>
  <c r="B356" i="1"/>
  <c r="C357" i="1"/>
  <c r="B357" i="1"/>
  <c r="C358" i="1"/>
  <c r="B358" i="1"/>
  <c r="C359" i="1"/>
  <c r="B359" i="1"/>
  <c r="C360" i="1"/>
  <c r="B360" i="1"/>
  <c r="C361" i="1"/>
  <c r="B361" i="1"/>
  <c r="C362" i="1"/>
  <c r="B362" i="1"/>
  <c r="C363" i="1"/>
  <c r="B363" i="1"/>
  <c r="C364" i="1"/>
  <c r="B364" i="1"/>
  <c r="C365" i="1"/>
  <c r="B365" i="1"/>
  <c r="C366" i="1"/>
  <c r="B366" i="1"/>
  <c r="C367" i="1"/>
  <c r="B367" i="1"/>
  <c r="C368" i="1"/>
  <c r="B368" i="1"/>
  <c r="C369" i="1"/>
  <c r="B369" i="1"/>
  <c r="C370" i="1"/>
  <c r="B370" i="1"/>
  <c r="C371" i="1"/>
  <c r="B371" i="1"/>
  <c r="C372" i="1"/>
  <c r="B372" i="1"/>
  <c r="C373" i="1"/>
  <c r="B373" i="1"/>
  <c r="C374" i="1"/>
  <c r="B374" i="1"/>
  <c r="C375" i="1"/>
  <c r="B375" i="1"/>
  <c r="C376" i="1"/>
  <c r="B376" i="1"/>
  <c r="C377" i="1"/>
  <c r="B377" i="1"/>
  <c r="C378" i="1"/>
  <c r="B378" i="1"/>
  <c r="C379" i="1"/>
  <c r="B379" i="1"/>
  <c r="C380" i="1"/>
  <c r="B380" i="1"/>
  <c r="C381" i="1"/>
  <c r="B381" i="1"/>
  <c r="C382" i="1"/>
  <c r="B382" i="1"/>
  <c r="C383" i="1"/>
  <c r="B383" i="1"/>
  <c r="C384" i="1"/>
  <c r="B384" i="1"/>
  <c r="C385" i="1"/>
  <c r="B385" i="1"/>
  <c r="C386" i="1"/>
  <c r="B386" i="1"/>
  <c r="C387" i="1"/>
  <c r="B387" i="1"/>
  <c r="C388" i="1"/>
  <c r="B388" i="1"/>
  <c r="C389" i="1"/>
  <c r="B389" i="1"/>
  <c r="C390" i="1"/>
  <c r="B390" i="1"/>
  <c r="C391" i="1"/>
  <c r="B391" i="1"/>
  <c r="C392" i="1"/>
  <c r="B392" i="1"/>
  <c r="C393" i="1"/>
  <c r="B393" i="1"/>
  <c r="C394" i="1"/>
  <c r="B394" i="1"/>
  <c r="C395" i="1"/>
  <c r="B395" i="1"/>
  <c r="C396" i="1"/>
  <c r="B396" i="1"/>
  <c r="C397" i="1"/>
  <c r="B397" i="1"/>
  <c r="C398" i="1"/>
  <c r="B398" i="1"/>
  <c r="C399" i="1"/>
  <c r="B399" i="1"/>
  <c r="C400" i="1"/>
  <c r="B400" i="1"/>
  <c r="C401" i="1"/>
  <c r="B401" i="1"/>
  <c r="C402" i="1"/>
  <c r="B402" i="1"/>
  <c r="C403" i="1"/>
  <c r="B403" i="1"/>
  <c r="C404" i="1"/>
  <c r="B404" i="1"/>
  <c r="C405" i="1"/>
  <c r="B405" i="1"/>
  <c r="C406" i="1"/>
  <c r="B406" i="1"/>
  <c r="C407" i="1"/>
  <c r="B407" i="1"/>
  <c r="C408" i="1"/>
  <c r="B408" i="1"/>
  <c r="C409" i="1"/>
  <c r="B409" i="1"/>
  <c r="C410" i="1"/>
  <c r="B410" i="1"/>
  <c r="C411" i="1"/>
  <c r="B411" i="1"/>
  <c r="C412" i="1"/>
  <c r="B412" i="1"/>
  <c r="C413" i="1"/>
  <c r="B413" i="1"/>
  <c r="C414" i="1"/>
  <c r="B414" i="1"/>
  <c r="C415" i="1"/>
  <c r="B415" i="1"/>
  <c r="C416" i="1"/>
  <c r="B416" i="1"/>
  <c r="C417" i="1"/>
  <c r="B417" i="1"/>
  <c r="C418" i="1"/>
  <c r="B418" i="1"/>
  <c r="C419" i="1"/>
  <c r="B419" i="1"/>
  <c r="C420" i="1"/>
  <c r="B420" i="1"/>
  <c r="C421" i="1"/>
  <c r="B421" i="1"/>
  <c r="C422" i="1"/>
  <c r="B422" i="1"/>
  <c r="C423" i="1"/>
  <c r="B423" i="1"/>
  <c r="C424" i="1"/>
  <c r="B424" i="1"/>
  <c r="C425" i="1"/>
  <c r="B425" i="1"/>
  <c r="C426" i="1"/>
  <c r="B426" i="1"/>
  <c r="C427" i="1"/>
  <c r="B427" i="1"/>
  <c r="C428" i="1"/>
  <c r="B428" i="1"/>
  <c r="C429" i="1"/>
  <c r="B429" i="1"/>
  <c r="C430" i="1"/>
  <c r="B430" i="1"/>
  <c r="C431" i="1"/>
  <c r="B431" i="1"/>
  <c r="C432" i="1"/>
  <c r="B432" i="1"/>
  <c r="C433" i="1"/>
  <c r="B433" i="1"/>
  <c r="C434" i="1"/>
  <c r="B434" i="1"/>
  <c r="C435" i="1"/>
  <c r="B435" i="1"/>
  <c r="C436" i="1"/>
  <c r="B436" i="1"/>
  <c r="C437" i="1"/>
  <c r="B437" i="1"/>
  <c r="C438" i="1"/>
  <c r="B438" i="1"/>
  <c r="C439" i="1"/>
  <c r="B439" i="1"/>
  <c r="C440" i="1"/>
  <c r="B440" i="1"/>
  <c r="C441" i="1"/>
  <c r="B441" i="1"/>
  <c r="C442" i="1"/>
  <c r="B442" i="1"/>
  <c r="C443" i="1"/>
  <c r="B443" i="1"/>
  <c r="C444" i="1"/>
  <c r="B444" i="1"/>
  <c r="C445" i="1"/>
  <c r="B445" i="1"/>
  <c r="C446" i="1"/>
  <c r="B446" i="1"/>
  <c r="C447" i="1"/>
  <c r="B447" i="1"/>
  <c r="C448" i="1"/>
  <c r="B448" i="1"/>
  <c r="C449" i="1"/>
  <c r="B449" i="1"/>
  <c r="C450" i="1"/>
  <c r="B450" i="1"/>
  <c r="C451" i="1"/>
  <c r="B451" i="1"/>
  <c r="C452" i="1"/>
  <c r="B452" i="1"/>
  <c r="C453" i="1"/>
  <c r="B453" i="1"/>
  <c r="C454" i="1"/>
  <c r="B454" i="1"/>
  <c r="C455" i="1"/>
  <c r="B455" i="1"/>
  <c r="C456" i="1"/>
  <c r="B456" i="1"/>
  <c r="C457" i="1"/>
  <c r="B457" i="1"/>
  <c r="C458" i="1"/>
  <c r="B458" i="1"/>
  <c r="C459" i="1"/>
  <c r="B459" i="1"/>
  <c r="C460" i="1"/>
  <c r="B460" i="1"/>
  <c r="C461" i="1"/>
  <c r="B461" i="1"/>
  <c r="C462" i="1"/>
  <c r="B462" i="1"/>
  <c r="C463" i="1"/>
  <c r="B463" i="1"/>
  <c r="C464" i="1"/>
  <c r="B464" i="1"/>
  <c r="C465" i="1"/>
  <c r="B465" i="1"/>
  <c r="C466" i="1"/>
  <c r="B466" i="1"/>
  <c r="C467" i="1"/>
  <c r="B467" i="1"/>
  <c r="C468" i="1"/>
  <c r="B468" i="1"/>
  <c r="C469" i="1"/>
  <c r="B469" i="1"/>
  <c r="C470" i="1"/>
  <c r="B470" i="1"/>
  <c r="C471" i="1"/>
  <c r="B471" i="1"/>
  <c r="C472" i="1"/>
  <c r="B472" i="1"/>
  <c r="C473" i="1"/>
  <c r="B473" i="1"/>
  <c r="C474" i="1"/>
  <c r="B474" i="1"/>
  <c r="C475" i="1"/>
  <c r="B475" i="1"/>
  <c r="C476" i="1"/>
  <c r="B476" i="1"/>
  <c r="C477" i="1"/>
  <c r="B477" i="1"/>
  <c r="C478" i="1"/>
  <c r="B478" i="1"/>
  <c r="C479" i="1"/>
  <c r="B479" i="1"/>
  <c r="C480" i="1"/>
  <c r="B480" i="1"/>
  <c r="C481" i="1"/>
  <c r="B481" i="1"/>
  <c r="C482" i="1"/>
  <c r="B482" i="1"/>
  <c r="C483" i="1"/>
  <c r="B483" i="1"/>
  <c r="C484" i="1"/>
  <c r="B484" i="1"/>
  <c r="C485" i="1"/>
  <c r="B485" i="1"/>
  <c r="C486" i="1"/>
  <c r="B486" i="1"/>
  <c r="C487" i="1"/>
  <c r="B487" i="1"/>
  <c r="C488" i="1"/>
  <c r="B488" i="1"/>
  <c r="C489" i="1"/>
  <c r="B489" i="1"/>
  <c r="C490" i="1"/>
  <c r="B490" i="1"/>
  <c r="C491" i="1"/>
  <c r="B491" i="1"/>
  <c r="C492" i="1"/>
  <c r="B492" i="1"/>
  <c r="C493" i="1"/>
  <c r="B493" i="1"/>
  <c r="C494" i="1"/>
  <c r="B494" i="1"/>
  <c r="C495" i="1"/>
  <c r="B495" i="1"/>
  <c r="B496" i="1"/>
  <c r="C497" i="1"/>
  <c r="B497" i="1"/>
  <c r="C498" i="1"/>
  <c r="B498" i="1"/>
  <c r="C499" i="1"/>
  <c r="B499" i="1"/>
  <c r="C500" i="1"/>
  <c r="B500" i="1"/>
  <c r="C501" i="1"/>
  <c r="B501" i="1"/>
  <c r="C502" i="1"/>
  <c r="B502" i="1"/>
  <c r="C503" i="1"/>
  <c r="B503" i="1"/>
  <c r="C504" i="1"/>
  <c r="B504" i="1"/>
  <c r="C505" i="1"/>
  <c r="B505" i="1"/>
  <c r="C506" i="1"/>
  <c r="B506" i="1"/>
  <c r="C507" i="1"/>
  <c r="B507" i="1"/>
  <c r="C508" i="1"/>
  <c r="B508" i="1"/>
  <c r="C509" i="1"/>
  <c r="B509" i="1"/>
  <c r="C510" i="1"/>
  <c r="B510" i="1"/>
  <c r="C511" i="1"/>
  <c r="B511" i="1"/>
  <c r="C512" i="1"/>
  <c r="B512" i="1"/>
  <c r="C513" i="1"/>
  <c r="B513" i="1"/>
  <c r="C514" i="1"/>
  <c r="B514" i="1"/>
  <c r="C515" i="1"/>
  <c r="B515" i="1"/>
  <c r="C516" i="1"/>
  <c r="B516" i="1"/>
  <c r="C517" i="1"/>
  <c r="B517" i="1"/>
  <c r="C518" i="1"/>
  <c r="B518" i="1"/>
  <c r="C519" i="1"/>
  <c r="B519" i="1"/>
  <c r="C520" i="1"/>
  <c r="B520" i="1"/>
  <c r="C521" i="1"/>
  <c r="B521" i="1"/>
  <c r="C522" i="1"/>
  <c r="B522" i="1"/>
  <c r="C523" i="1"/>
  <c r="B523" i="1"/>
  <c r="C524" i="1"/>
  <c r="B524" i="1"/>
  <c r="C525" i="1"/>
  <c r="B525" i="1"/>
  <c r="C526" i="1"/>
  <c r="B526" i="1"/>
  <c r="C527" i="1"/>
  <c r="B527" i="1"/>
  <c r="C528" i="1"/>
  <c r="B528" i="1"/>
  <c r="C529" i="1"/>
  <c r="B529" i="1"/>
  <c r="C530" i="1"/>
  <c r="B530" i="1"/>
  <c r="C531" i="1"/>
  <c r="B531" i="1"/>
  <c r="C532" i="1"/>
  <c r="B532" i="1"/>
  <c r="C533" i="1"/>
  <c r="B533" i="1"/>
  <c r="C534" i="1"/>
  <c r="B534" i="1"/>
  <c r="C535" i="1"/>
  <c r="B535" i="1"/>
  <c r="C536" i="1"/>
  <c r="B536" i="1"/>
  <c r="C537" i="1"/>
  <c r="B537" i="1"/>
  <c r="C538" i="1"/>
  <c r="B538" i="1"/>
  <c r="C539" i="1"/>
  <c r="B539" i="1"/>
  <c r="C540" i="1"/>
  <c r="B540" i="1"/>
  <c r="C541" i="1"/>
  <c r="B541" i="1"/>
  <c r="C542" i="1"/>
  <c r="B542" i="1"/>
  <c r="C543" i="1"/>
  <c r="B543" i="1"/>
  <c r="C544" i="1"/>
  <c r="B544" i="1"/>
  <c r="C545" i="1"/>
  <c r="B545" i="1"/>
  <c r="C546" i="1"/>
  <c r="B546" i="1"/>
  <c r="C547" i="1"/>
  <c r="B547" i="1"/>
  <c r="C548" i="1"/>
  <c r="B548" i="1"/>
  <c r="C549" i="1"/>
  <c r="B549" i="1"/>
  <c r="C550" i="1"/>
  <c r="B550" i="1"/>
  <c r="C551" i="1"/>
  <c r="B551" i="1"/>
  <c r="C552" i="1"/>
  <c r="B552" i="1"/>
  <c r="C553" i="1"/>
  <c r="B553" i="1"/>
  <c r="C554" i="1"/>
  <c r="B554" i="1"/>
  <c r="C555" i="1"/>
  <c r="B555" i="1"/>
  <c r="C556" i="1"/>
  <c r="B556" i="1"/>
  <c r="C557" i="1"/>
  <c r="B557" i="1"/>
  <c r="C558" i="1"/>
  <c r="B558" i="1"/>
  <c r="C559" i="1"/>
  <c r="B559" i="1"/>
  <c r="C560" i="1"/>
  <c r="B560" i="1"/>
  <c r="C561" i="1"/>
  <c r="B561" i="1"/>
  <c r="C562" i="1"/>
  <c r="B562" i="1"/>
  <c r="C563" i="1"/>
  <c r="B563" i="1"/>
  <c r="C564" i="1"/>
  <c r="B564" i="1"/>
  <c r="C565" i="1"/>
  <c r="B565" i="1"/>
  <c r="C566" i="1"/>
  <c r="B566" i="1"/>
  <c r="C567" i="1"/>
  <c r="B567" i="1"/>
  <c r="C568" i="1"/>
  <c r="B568" i="1"/>
  <c r="C569" i="1"/>
  <c r="B569" i="1"/>
  <c r="C570" i="1"/>
  <c r="B570" i="1"/>
  <c r="C571" i="1"/>
  <c r="B571" i="1"/>
  <c r="C572" i="1"/>
  <c r="B572" i="1"/>
  <c r="C573" i="1"/>
  <c r="B573" i="1"/>
  <c r="C574" i="1"/>
  <c r="B574" i="1"/>
  <c r="C575" i="1"/>
  <c r="B575" i="1"/>
  <c r="C576" i="1"/>
  <c r="B576" i="1"/>
  <c r="C577" i="1"/>
  <c r="B577" i="1"/>
  <c r="C578" i="1"/>
  <c r="B578" i="1"/>
  <c r="C579" i="1"/>
  <c r="B579" i="1"/>
  <c r="C580" i="1"/>
  <c r="B580" i="1"/>
  <c r="C581" i="1"/>
  <c r="B581" i="1"/>
  <c r="C582" i="1"/>
  <c r="B582" i="1"/>
  <c r="C583" i="1"/>
  <c r="B583" i="1"/>
  <c r="C584" i="1"/>
  <c r="B584" i="1"/>
  <c r="C585" i="1"/>
  <c r="B585" i="1"/>
  <c r="C586" i="1"/>
  <c r="B586" i="1"/>
  <c r="C587" i="1"/>
  <c r="B587" i="1"/>
  <c r="C588" i="1"/>
  <c r="B588" i="1"/>
  <c r="C589" i="1"/>
  <c r="B589" i="1"/>
  <c r="C590" i="1"/>
  <c r="B590" i="1"/>
  <c r="C591" i="1"/>
  <c r="B591" i="1"/>
  <c r="C592" i="1"/>
  <c r="B592" i="1"/>
  <c r="C593" i="1"/>
  <c r="B593" i="1"/>
  <c r="C594" i="1"/>
  <c r="B594" i="1"/>
  <c r="C595" i="1"/>
  <c r="B595" i="1"/>
  <c r="C596" i="1"/>
  <c r="B596" i="1"/>
  <c r="C597" i="1"/>
  <c r="B597" i="1"/>
  <c r="C598" i="1"/>
  <c r="B598" i="1"/>
  <c r="C599" i="1"/>
  <c r="B599" i="1"/>
  <c r="C600" i="1"/>
  <c r="B600" i="1"/>
  <c r="C601" i="1"/>
  <c r="B601" i="1"/>
  <c r="C602" i="1"/>
  <c r="B602" i="1"/>
  <c r="C603" i="1"/>
  <c r="B603" i="1"/>
  <c r="C604" i="1"/>
  <c r="B604" i="1"/>
  <c r="C605" i="1"/>
  <c r="B605" i="1"/>
  <c r="C606" i="1"/>
  <c r="B606" i="1"/>
  <c r="C607" i="1"/>
  <c r="B607" i="1"/>
  <c r="C608" i="1"/>
  <c r="B608" i="1"/>
  <c r="C609" i="1"/>
  <c r="B609" i="1"/>
  <c r="C610" i="1"/>
  <c r="B610" i="1"/>
  <c r="C611" i="1"/>
  <c r="B611" i="1"/>
  <c r="C612" i="1"/>
  <c r="B612" i="1"/>
  <c r="C613" i="1"/>
  <c r="B613" i="1"/>
  <c r="C614" i="1"/>
  <c r="B614" i="1"/>
  <c r="C615" i="1"/>
  <c r="B615" i="1"/>
  <c r="C616" i="1"/>
  <c r="B616" i="1"/>
  <c r="C617" i="1"/>
  <c r="B617" i="1"/>
  <c r="C618" i="1"/>
  <c r="B618" i="1"/>
  <c r="C619" i="1"/>
  <c r="B619" i="1"/>
  <c r="C620" i="1"/>
  <c r="B620" i="1"/>
  <c r="C621" i="1"/>
  <c r="B621" i="1"/>
  <c r="C622" i="1"/>
  <c r="B622" i="1"/>
  <c r="C623" i="1"/>
  <c r="B623" i="1"/>
  <c r="C624" i="1"/>
  <c r="B624" i="1"/>
  <c r="C625" i="1"/>
  <c r="B625" i="1"/>
  <c r="C626" i="1"/>
  <c r="B626" i="1"/>
  <c r="C627" i="1"/>
  <c r="B627" i="1"/>
  <c r="C628" i="1"/>
  <c r="B628" i="1"/>
  <c r="C629" i="1"/>
  <c r="B629" i="1"/>
  <c r="C630" i="1"/>
  <c r="B630" i="1"/>
  <c r="C631" i="1"/>
  <c r="B631" i="1"/>
  <c r="C632" i="1"/>
  <c r="B632" i="1"/>
  <c r="C633" i="1"/>
  <c r="B633" i="1"/>
  <c r="C634" i="1"/>
  <c r="B634" i="1"/>
  <c r="C635" i="1"/>
  <c r="B635" i="1"/>
  <c r="C636" i="1"/>
  <c r="B636" i="1"/>
  <c r="C637" i="1"/>
  <c r="B637" i="1"/>
  <c r="C638" i="1"/>
  <c r="B638" i="1"/>
  <c r="C639" i="1"/>
  <c r="B639" i="1"/>
  <c r="C640" i="1"/>
  <c r="B640" i="1"/>
  <c r="C641" i="1"/>
  <c r="B641" i="1"/>
  <c r="C642" i="1"/>
  <c r="B642" i="1"/>
  <c r="C643" i="1"/>
  <c r="B643" i="1"/>
  <c r="C644" i="1"/>
  <c r="B644" i="1"/>
  <c r="C645" i="1"/>
  <c r="B645" i="1"/>
  <c r="C646" i="1"/>
  <c r="B646" i="1"/>
  <c r="C647" i="1"/>
  <c r="B647" i="1"/>
  <c r="C648" i="1"/>
  <c r="B648" i="1"/>
  <c r="C649" i="1"/>
  <c r="B649" i="1"/>
  <c r="C650" i="1"/>
  <c r="B650" i="1"/>
  <c r="C651" i="1"/>
  <c r="B651" i="1"/>
  <c r="C652" i="1"/>
  <c r="B652" i="1"/>
  <c r="C653" i="1"/>
  <c r="B653" i="1"/>
  <c r="C654" i="1"/>
  <c r="B654" i="1"/>
  <c r="C655" i="1"/>
  <c r="B655" i="1"/>
  <c r="C656" i="1"/>
  <c r="B656" i="1"/>
  <c r="C657" i="1"/>
  <c r="B657" i="1"/>
  <c r="C658" i="1"/>
  <c r="B658" i="1"/>
  <c r="C659" i="1"/>
  <c r="B659" i="1"/>
  <c r="C660" i="1"/>
  <c r="B660" i="1"/>
  <c r="C661" i="1"/>
  <c r="B661" i="1"/>
  <c r="C662" i="1"/>
  <c r="B662" i="1"/>
  <c r="C663" i="1"/>
  <c r="B663" i="1"/>
  <c r="C664" i="1"/>
  <c r="B664" i="1"/>
  <c r="C665" i="1"/>
  <c r="B665" i="1"/>
  <c r="C666" i="1"/>
  <c r="B666" i="1"/>
  <c r="C667" i="1"/>
  <c r="B667" i="1"/>
  <c r="C668" i="1"/>
  <c r="B668" i="1"/>
  <c r="C669" i="1"/>
  <c r="B669" i="1"/>
  <c r="C670" i="1"/>
  <c r="B670" i="1"/>
  <c r="C671" i="1"/>
  <c r="B671" i="1"/>
  <c r="C672" i="1"/>
  <c r="B672" i="1"/>
  <c r="C673" i="1"/>
  <c r="B673" i="1"/>
  <c r="C674" i="1"/>
  <c r="B674" i="1"/>
  <c r="C675" i="1"/>
  <c r="B675" i="1"/>
  <c r="C676" i="1"/>
  <c r="B676" i="1"/>
  <c r="C677" i="1"/>
  <c r="B677" i="1"/>
  <c r="C678" i="1"/>
  <c r="B678" i="1"/>
  <c r="C679" i="1"/>
  <c r="B679" i="1"/>
  <c r="C680" i="1"/>
  <c r="B680" i="1"/>
  <c r="C681" i="1"/>
  <c r="B681" i="1"/>
  <c r="C682" i="1"/>
  <c r="B682" i="1"/>
  <c r="C683" i="1"/>
  <c r="B683" i="1"/>
  <c r="C684" i="1"/>
  <c r="B684" i="1"/>
  <c r="C685" i="1"/>
  <c r="B685" i="1"/>
  <c r="C686" i="1"/>
  <c r="B686" i="1"/>
  <c r="C687" i="1"/>
  <c r="B687" i="1"/>
  <c r="C688" i="1"/>
  <c r="B688" i="1"/>
  <c r="C689" i="1"/>
  <c r="B689" i="1"/>
  <c r="C690" i="1"/>
  <c r="B690" i="1"/>
  <c r="C691" i="1"/>
  <c r="B691" i="1"/>
  <c r="C692" i="1"/>
  <c r="B692" i="1"/>
  <c r="C693" i="1"/>
  <c r="B693" i="1"/>
  <c r="C694" i="1"/>
  <c r="B694" i="1"/>
  <c r="C695" i="1"/>
  <c r="B695" i="1"/>
  <c r="C696" i="1"/>
  <c r="B696" i="1"/>
  <c r="C697" i="1"/>
  <c r="B697" i="1"/>
  <c r="C698" i="1"/>
  <c r="B698" i="1"/>
  <c r="C699" i="1"/>
  <c r="B699" i="1"/>
  <c r="C700" i="1"/>
  <c r="B700" i="1"/>
  <c r="C701" i="1"/>
  <c r="B701" i="1"/>
  <c r="C702" i="1"/>
  <c r="B702" i="1"/>
  <c r="C703" i="1"/>
  <c r="B703" i="1"/>
  <c r="C704" i="1"/>
  <c r="B704" i="1"/>
  <c r="C705" i="1"/>
  <c r="B705" i="1"/>
  <c r="C706" i="1"/>
  <c r="B706" i="1"/>
  <c r="C707" i="1"/>
  <c r="B707" i="1"/>
  <c r="C708" i="1"/>
  <c r="B708" i="1"/>
  <c r="C709" i="1"/>
  <c r="B709" i="1"/>
  <c r="C710" i="1"/>
  <c r="B710" i="1"/>
  <c r="C711" i="1"/>
  <c r="B711" i="1"/>
  <c r="C712" i="1"/>
  <c r="B712" i="1"/>
  <c r="C713" i="1"/>
  <c r="B713" i="1"/>
  <c r="C714" i="1"/>
  <c r="B714" i="1"/>
  <c r="C715" i="1"/>
  <c r="B715" i="1"/>
  <c r="C716" i="1"/>
  <c r="B716" i="1"/>
  <c r="C717" i="1"/>
  <c r="B717" i="1"/>
  <c r="C718" i="1"/>
  <c r="B718" i="1"/>
  <c r="C719" i="1"/>
  <c r="B719" i="1"/>
  <c r="C720" i="1"/>
  <c r="B720" i="1"/>
  <c r="C721" i="1"/>
  <c r="B721" i="1"/>
  <c r="C722" i="1"/>
  <c r="B722" i="1"/>
  <c r="C723" i="1"/>
  <c r="B723" i="1"/>
  <c r="C724" i="1"/>
  <c r="B724" i="1"/>
  <c r="C725" i="1"/>
  <c r="B725" i="1"/>
  <c r="C726" i="1"/>
  <c r="B726" i="1"/>
  <c r="C727" i="1"/>
  <c r="B727" i="1"/>
  <c r="C728" i="1"/>
  <c r="B728" i="1"/>
  <c r="C729" i="1"/>
  <c r="B729" i="1"/>
  <c r="C730" i="1"/>
  <c r="B730" i="1"/>
  <c r="C731" i="1"/>
  <c r="B731" i="1"/>
  <c r="C732" i="1"/>
  <c r="B732" i="1"/>
  <c r="C733" i="1"/>
  <c r="B733" i="1"/>
  <c r="C734" i="1"/>
  <c r="B734" i="1"/>
  <c r="C735" i="1"/>
  <c r="B735" i="1"/>
  <c r="C736" i="1"/>
  <c r="B736" i="1"/>
  <c r="C737" i="1"/>
  <c r="B737" i="1"/>
  <c r="C738" i="1"/>
  <c r="B738" i="1"/>
  <c r="C739" i="1"/>
  <c r="B739" i="1"/>
  <c r="C740" i="1"/>
  <c r="B740" i="1"/>
  <c r="C741" i="1"/>
  <c r="B741" i="1"/>
  <c r="C742" i="1"/>
  <c r="B742" i="1"/>
  <c r="C743" i="1"/>
  <c r="B743" i="1"/>
  <c r="C744" i="1"/>
  <c r="B744" i="1"/>
  <c r="C745" i="1"/>
  <c r="B745" i="1"/>
  <c r="C746" i="1"/>
  <c r="B746" i="1"/>
  <c r="C747" i="1"/>
  <c r="B747" i="1"/>
  <c r="C748" i="1"/>
  <c r="B748" i="1"/>
  <c r="B749" i="1"/>
  <c r="C750" i="1"/>
  <c r="B750" i="1"/>
  <c r="C751" i="1"/>
  <c r="B751" i="1"/>
  <c r="C752" i="1"/>
  <c r="B752" i="1"/>
  <c r="C753" i="1"/>
  <c r="B753" i="1"/>
  <c r="C754" i="1"/>
  <c r="B754" i="1"/>
  <c r="C755" i="1"/>
  <c r="B755" i="1"/>
  <c r="C756" i="1"/>
  <c r="B756" i="1"/>
  <c r="C757" i="1"/>
  <c r="B757" i="1"/>
  <c r="C758" i="1"/>
  <c r="B758" i="1"/>
  <c r="C759" i="1"/>
  <c r="B759" i="1"/>
  <c r="C760" i="1"/>
  <c r="B760" i="1"/>
  <c r="C761" i="1"/>
  <c r="B761" i="1"/>
  <c r="C762" i="1"/>
  <c r="B762" i="1"/>
  <c r="C763" i="1"/>
  <c r="B763" i="1"/>
  <c r="C764" i="1"/>
  <c r="B764" i="1"/>
  <c r="C765" i="1"/>
  <c r="B765" i="1"/>
  <c r="C766" i="1"/>
  <c r="B766" i="1"/>
  <c r="C767" i="1"/>
  <c r="B767" i="1"/>
  <c r="C768" i="1"/>
  <c r="B768" i="1"/>
  <c r="C769" i="1"/>
  <c r="B769" i="1"/>
  <c r="C770" i="1"/>
  <c r="B770" i="1"/>
  <c r="C771" i="1"/>
  <c r="B771" i="1"/>
  <c r="C772" i="1"/>
  <c r="B772" i="1"/>
  <c r="C773" i="1"/>
  <c r="B773" i="1"/>
  <c r="C774" i="1"/>
  <c r="B774" i="1"/>
  <c r="C775" i="1"/>
  <c r="B775" i="1"/>
  <c r="C776" i="1"/>
  <c r="B776" i="1"/>
  <c r="C777" i="1"/>
  <c r="B777" i="1"/>
  <c r="C778" i="1"/>
  <c r="B778" i="1"/>
  <c r="C779" i="1"/>
  <c r="B779" i="1"/>
  <c r="C780" i="1"/>
  <c r="B780" i="1"/>
  <c r="C781" i="1"/>
  <c r="B781" i="1"/>
  <c r="C782" i="1"/>
  <c r="B782" i="1"/>
  <c r="C783" i="1"/>
  <c r="B783" i="1"/>
  <c r="C784" i="1"/>
  <c r="B784" i="1"/>
  <c r="C785" i="1"/>
  <c r="B785" i="1"/>
  <c r="C786" i="1"/>
  <c r="B786" i="1"/>
  <c r="C787" i="1"/>
  <c r="B787" i="1"/>
  <c r="C788" i="1"/>
  <c r="B788" i="1"/>
  <c r="C789" i="1"/>
  <c r="B789" i="1"/>
  <c r="C790" i="1"/>
  <c r="B790" i="1"/>
  <c r="C791" i="1"/>
  <c r="B791" i="1"/>
  <c r="C792" i="1"/>
  <c r="B792" i="1"/>
  <c r="C793" i="1"/>
  <c r="B793" i="1"/>
  <c r="C794" i="1"/>
  <c r="B794" i="1"/>
  <c r="C795" i="1"/>
  <c r="B795" i="1"/>
  <c r="C796" i="1"/>
  <c r="B796" i="1"/>
  <c r="C797" i="1"/>
  <c r="B797" i="1"/>
  <c r="C798" i="1"/>
  <c r="B798" i="1"/>
  <c r="C799" i="1"/>
  <c r="B799" i="1"/>
  <c r="C800" i="1"/>
  <c r="B800" i="1"/>
  <c r="C801" i="1"/>
  <c r="B801" i="1"/>
  <c r="C802" i="1"/>
  <c r="B802" i="1"/>
  <c r="C803" i="1"/>
  <c r="B803" i="1"/>
  <c r="C804" i="1"/>
  <c r="B804" i="1"/>
  <c r="C805" i="1"/>
  <c r="B805" i="1"/>
  <c r="C806" i="1"/>
  <c r="B806" i="1"/>
  <c r="C807" i="1"/>
  <c r="B807" i="1"/>
  <c r="C808" i="1"/>
  <c r="B808" i="1"/>
  <c r="C809" i="1"/>
  <c r="B809" i="1"/>
  <c r="C810" i="1"/>
  <c r="B810" i="1"/>
  <c r="C811" i="1"/>
  <c r="B811" i="1"/>
  <c r="C812" i="1"/>
  <c r="B812" i="1"/>
  <c r="C813" i="1"/>
  <c r="B813" i="1"/>
  <c r="C814" i="1"/>
  <c r="B814" i="1"/>
  <c r="C815" i="1"/>
  <c r="B815" i="1"/>
  <c r="C816" i="1"/>
  <c r="B816" i="1"/>
  <c r="C817" i="1"/>
  <c r="B817" i="1"/>
  <c r="C818" i="1"/>
  <c r="B818" i="1"/>
  <c r="C819" i="1"/>
  <c r="B819" i="1"/>
  <c r="C820" i="1"/>
  <c r="B820" i="1"/>
  <c r="C821" i="1"/>
  <c r="B821" i="1"/>
  <c r="C822" i="1"/>
  <c r="B822" i="1"/>
  <c r="C823" i="1"/>
  <c r="B823" i="1"/>
  <c r="C824" i="1"/>
  <c r="B824" i="1"/>
  <c r="C825" i="1"/>
  <c r="B825" i="1"/>
  <c r="C826" i="1"/>
  <c r="B826" i="1"/>
  <c r="C827" i="1"/>
  <c r="B827" i="1"/>
  <c r="C828" i="1"/>
  <c r="B828" i="1"/>
  <c r="C829" i="1"/>
  <c r="B829" i="1"/>
  <c r="C830" i="1"/>
  <c r="B830" i="1"/>
  <c r="C831" i="1"/>
  <c r="B831" i="1"/>
  <c r="C832" i="1"/>
  <c r="B832" i="1"/>
  <c r="C833" i="1"/>
  <c r="B833" i="1"/>
  <c r="C834" i="1"/>
  <c r="B834" i="1"/>
  <c r="C835" i="1"/>
  <c r="B835" i="1"/>
  <c r="C836" i="1"/>
  <c r="B836" i="1"/>
  <c r="C837" i="1"/>
  <c r="B837" i="1"/>
  <c r="C838" i="1"/>
  <c r="B838" i="1"/>
  <c r="C839" i="1"/>
  <c r="B839" i="1"/>
  <c r="C840" i="1"/>
  <c r="B840" i="1"/>
  <c r="C841" i="1"/>
  <c r="B841" i="1"/>
  <c r="C842" i="1"/>
  <c r="B842" i="1"/>
  <c r="C843" i="1"/>
  <c r="B843" i="1"/>
  <c r="C844" i="1"/>
  <c r="B844" i="1"/>
  <c r="C845" i="1"/>
  <c r="B845" i="1"/>
  <c r="C846" i="1"/>
  <c r="B846" i="1"/>
  <c r="C847" i="1"/>
  <c r="B847" i="1"/>
  <c r="C848" i="1"/>
  <c r="B848" i="1"/>
  <c r="C849" i="1"/>
  <c r="B849" i="1"/>
  <c r="C850" i="1"/>
  <c r="B850" i="1"/>
  <c r="C851" i="1"/>
  <c r="B851" i="1"/>
  <c r="C852" i="1"/>
  <c r="B852" i="1"/>
  <c r="C853" i="1"/>
  <c r="B853" i="1"/>
  <c r="C854" i="1"/>
  <c r="B854" i="1"/>
  <c r="C855" i="1"/>
  <c r="B855" i="1"/>
  <c r="C856" i="1"/>
  <c r="B856" i="1"/>
  <c r="C857" i="1"/>
  <c r="B857" i="1"/>
  <c r="C858" i="1"/>
  <c r="B858" i="1"/>
  <c r="C859" i="1"/>
  <c r="B859" i="1"/>
  <c r="C860" i="1"/>
  <c r="B860" i="1"/>
  <c r="C861" i="1"/>
  <c r="B861" i="1"/>
  <c r="C862" i="1"/>
  <c r="B862" i="1"/>
  <c r="C863" i="1"/>
  <c r="B863" i="1"/>
  <c r="C864" i="1"/>
  <c r="B864" i="1"/>
  <c r="C865" i="1"/>
  <c r="B865" i="1"/>
  <c r="C866" i="1"/>
  <c r="B866" i="1"/>
  <c r="C867" i="1"/>
  <c r="B867" i="1"/>
  <c r="C868" i="1"/>
  <c r="B868" i="1"/>
  <c r="C869" i="1"/>
  <c r="B869" i="1"/>
  <c r="C870" i="1"/>
  <c r="B870" i="1"/>
  <c r="C871" i="1"/>
  <c r="B871" i="1"/>
  <c r="C872" i="1"/>
  <c r="B872" i="1"/>
  <c r="C873" i="1"/>
  <c r="B873" i="1"/>
  <c r="C874" i="1"/>
  <c r="B874" i="1"/>
  <c r="C875" i="1"/>
  <c r="B875" i="1"/>
  <c r="C876" i="1"/>
  <c r="B876" i="1"/>
  <c r="C877" i="1"/>
  <c r="B877" i="1"/>
  <c r="C878" i="1"/>
  <c r="B878" i="1"/>
  <c r="C879" i="1"/>
  <c r="B879" i="1"/>
  <c r="C880" i="1"/>
  <c r="B880" i="1"/>
  <c r="C881" i="1"/>
  <c r="B881" i="1"/>
  <c r="C882" i="1"/>
  <c r="B882" i="1"/>
  <c r="C883" i="1"/>
  <c r="B883" i="1"/>
  <c r="C884" i="1"/>
  <c r="B884" i="1"/>
  <c r="C885" i="1"/>
  <c r="B885" i="1"/>
  <c r="C886" i="1"/>
  <c r="B886" i="1"/>
  <c r="C887" i="1"/>
  <c r="B887" i="1"/>
  <c r="C888" i="1"/>
  <c r="B888" i="1"/>
  <c r="C889" i="1"/>
  <c r="B889" i="1"/>
  <c r="C890" i="1"/>
  <c r="B890" i="1"/>
  <c r="C891" i="1"/>
  <c r="B891" i="1"/>
  <c r="C892" i="1"/>
  <c r="B892" i="1"/>
  <c r="C893" i="1"/>
  <c r="B893" i="1"/>
  <c r="C894" i="1"/>
  <c r="B894" i="1"/>
  <c r="C895" i="1"/>
  <c r="B895" i="1"/>
  <c r="C896" i="1"/>
  <c r="B896" i="1"/>
  <c r="C897" i="1"/>
  <c r="B897" i="1"/>
  <c r="C898" i="1"/>
  <c r="B898" i="1"/>
  <c r="C899" i="1"/>
  <c r="B899" i="1"/>
  <c r="C900" i="1"/>
  <c r="B900" i="1"/>
  <c r="C901" i="1"/>
  <c r="B901" i="1"/>
  <c r="C902" i="1"/>
  <c r="B902" i="1"/>
  <c r="C903" i="1"/>
  <c r="B903" i="1"/>
  <c r="C904" i="1"/>
  <c r="B904" i="1"/>
  <c r="C905" i="1"/>
  <c r="B905" i="1"/>
  <c r="C906" i="1"/>
  <c r="B906" i="1"/>
  <c r="C907" i="1"/>
  <c r="B907" i="1"/>
  <c r="C908" i="1"/>
  <c r="B908" i="1"/>
  <c r="C909" i="1"/>
  <c r="B909" i="1"/>
  <c r="C910" i="1"/>
  <c r="B910" i="1"/>
  <c r="C911" i="1"/>
  <c r="B911" i="1"/>
  <c r="C912" i="1"/>
  <c r="B912" i="1"/>
  <c r="C913" i="1"/>
  <c r="B913" i="1"/>
  <c r="C914" i="1"/>
  <c r="B914" i="1"/>
  <c r="C915" i="1"/>
  <c r="B915" i="1"/>
  <c r="C916" i="1"/>
  <c r="B916" i="1"/>
  <c r="C917" i="1"/>
  <c r="B917" i="1"/>
  <c r="C918" i="1"/>
  <c r="B918" i="1"/>
  <c r="C919" i="1"/>
  <c r="B919" i="1"/>
  <c r="C920" i="1"/>
  <c r="B920" i="1"/>
  <c r="C921" i="1"/>
  <c r="B921" i="1"/>
  <c r="C922" i="1"/>
  <c r="B922" i="1"/>
  <c r="C923" i="1"/>
  <c r="B923" i="1"/>
  <c r="C924" i="1"/>
  <c r="B924" i="1"/>
  <c r="C925" i="1"/>
  <c r="B925" i="1"/>
  <c r="C926" i="1"/>
  <c r="B926" i="1"/>
  <c r="C927" i="1"/>
  <c r="B927" i="1"/>
  <c r="C928" i="1"/>
  <c r="B928" i="1"/>
  <c r="C929" i="1"/>
  <c r="B929" i="1"/>
  <c r="C930" i="1"/>
  <c r="B930" i="1"/>
  <c r="C931" i="1"/>
  <c r="B931" i="1"/>
  <c r="C932" i="1"/>
  <c r="B932" i="1"/>
  <c r="C933" i="1"/>
  <c r="B933" i="1"/>
  <c r="C934" i="1"/>
  <c r="B934" i="1"/>
  <c r="C935" i="1"/>
  <c r="B935" i="1"/>
  <c r="C936" i="1"/>
  <c r="B936" i="1"/>
  <c r="C937" i="1"/>
  <c r="B937" i="1"/>
  <c r="C938" i="1"/>
  <c r="B938" i="1"/>
  <c r="C939" i="1"/>
  <c r="B939" i="1"/>
  <c r="C940" i="1"/>
  <c r="B940" i="1"/>
  <c r="C941" i="1"/>
  <c r="B941" i="1"/>
  <c r="C942" i="1"/>
  <c r="B942" i="1"/>
  <c r="C943" i="1"/>
  <c r="B943" i="1"/>
  <c r="C944" i="1"/>
  <c r="B944" i="1"/>
  <c r="C945" i="1"/>
  <c r="B945" i="1"/>
  <c r="C946" i="1"/>
  <c r="B946" i="1"/>
  <c r="C947" i="1"/>
  <c r="B947" i="1"/>
  <c r="C948" i="1"/>
  <c r="B948" i="1"/>
  <c r="C949" i="1"/>
  <c r="B949" i="1"/>
  <c r="C950" i="1"/>
  <c r="B950" i="1"/>
  <c r="C951" i="1"/>
  <c r="B951" i="1"/>
  <c r="C952" i="1"/>
  <c r="B952" i="1"/>
  <c r="C953" i="1"/>
  <c r="B953" i="1"/>
  <c r="C954" i="1"/>
  <c r="B954" i="1"/>
  <c r="C955" i="1"/>
  <c r="B955" i="1"/>
  <c r="C956" i="1"/>
  <c r="B956" i="1"/>
  <c r="C957" i="1"/>
  <c r="B957" i="1"/>
  <c r="C958" i="1"/>
  <c r="B958" i="1"/>
  <c r="C959" i="1"/>
  <c r="B959" i="1"/>
  <c r="C960" i="1"/>
  <c r="B960" i="1"/>
  <c r="C961" i="1"/>
  <c r="B961" i="1"/>
  <c r="C962" i="1"/>
  <c r="B962" i="1"/>
  <c r="C963" i="1"/>
  <c r="B963" i="1"/>
  <c r="C964" i="1"/>
  <c r="B964" i="1"/>
  <c r="C965" i="1"/>
  <c r="B965" i="1"/>
  <c r="C966" i="1"/>
  <c r="B966" i="1"/>
  <c r="C967" i="1"/>
  <c r="B967" i="1"/>
  <c r="C968" i="1"/>
  <c r="B968" i="1"/>
  <c r="C969" i="1"/>
  <c r="B969" i="1"/>
  <c r="C970" i="1"/>
  <c r="B970" i="1"/>
  <c r="C971" i="1"/>
  <c r="B971" i="1"/>
  <c r="C972" i="1"/>
  <c r="B972" i="1"/>
  <c r="C973" i="1"/>
  <c r="B973" i="1"/>
  <c r="C974" i="1"/>
  <c r="B974" i="1"/>
  <c r="C975" i="1"/>
  <c r="B975" i="1"/>
  <c r="C976" i="1"/>
  <c r="B976" i="1"/>
  <c r="C977" i="1"/>
  <c r="B977" i="1"/>
  <c r="C978" i="1"/>
  <c r="B978" i="1"/>
  <c r="C979" i="1"/>
  <c r="B979" i="1"/>
  <c r="C980" i="1"/>
  <c r="B980" i="1"/>
  <c r="C981" i="1"/>
  <c r="B981" i="1"/>
  <c r="C982" i="1"/>
  <c r="B982" i="1"/>
  <c r="C983" i="1"/>
  <c r="B983" i="1"/>
  <c r="C984" i="1"/>
  <c r="B984" i="1"/>
  <c r="C985" i="1"/>
  <c r="B985" i="1"/>
  <c r="C986" i="1"/>
  <c r="B986" i="1"/>
  <c r="C987" i="1"/>
  <c r="B987" i="1"/>
  <c r="C988" i="1"/>
  <c r="B988" i="1"/>
  <c r="C989" i="1"/>
  <c r="B989" i="1"/>
  <c r="C990" i="1"/>
  <c r="B990" i="1"/>
  <c r="C991" i="1"/>
  <c r="B991" i="1"/>
  <c r="C992" i="1"/>
  <c r="B992" i="1"/>
  <c r="C993" i="1"/>
  <c r="B993" i="1"/>
  <c r="C994" i="1"/>
  <c r="B994" i="1"/>
  <c r="C995" i="1"/>
  <c r="B995" i="1"/>
  <c r="C996" i="1"/>
  <c r="B996" i="1"/>
  <c r="C997" i="1"/>
  <c r="B997" i="1"/>
  <c r="C998" i="1"/>
  <c r="B998" i="1"/>
  <c r="C999" i="1"/>
  <c r="B999" i="1"/>
  <c r="C1000" i="1"/>
  <c r="B1000" i="1"/>
  <c r="C1001" i="1"/>
  <c r="B1001" i="1"/>
  <c r="C1002" i="1"/>
  <c r="B1002" i="1"/>
  <c r="C1003" i="1"/>
  <c r="B1003" i="1"/>
  <c r="C1004" i="1"/>
  <c r="B1004" i="1"/>
  <c r="C1005" i="1"/>
  <c r="B1005" i="1"/>
  <c r="C1006" i="1"/>
  <c r="B1006" i="1"/>
  <c r="C1007" i="1"/>
  <c r="B1007" i="1"/>
  <c r="C1008" i="1"/>
  <c r="B1008" i="1"/>
  <c r="C1009" i="1"/>
  <c r="B1009" i="1"/>
  <c r="C1010" i="1"/>
  <c r="B1010" i="1"/>
  <c r="C1011" i="1"/>
  <c r="B1011" i="1"/>
  <c r="C1012" i="1"/>
  <c r="B1012" i="1"/>
  <c r="C1013" i="1"/>
  <c r="B1013" i="1"/>
  <c r="C1014" i="1"/>
  <c r="B1014" i="1"/>
  <c r="C1015" i="1"/>
  <c r="B1015" i="1"/>
  <c r="C1016" i="1"/>
  <c r="B1016" i="1"/>
  <c r="C1017" i="1"/>
  <c r="B1017" i="1"/>
  <c r="C1018" i="1"/>
  <c r="B1018" i="1"/>
  <c r="C1019" i="1"/>
  <c r="B1019" i="1"/>
  <c r="C1020" i="1"/>
  <c r="B1020" i="1"/>
  <c r="C1021" i="1"/>
  <c r="B1021" i="1"/>
  <c r="C1022" i="1"/>
  <c r="B1022" i="1"/>
  <c r="C1023" i="1"/>
  <c r="B1023" i="1"/>
  <c r="C1024" i="1"/>
  <c r="B1024" i="1"/>
  <c r="C1025" i="1"/>
  <c r="B1025" i="1"/>
  <c r="C1026" i="1"/>
  <c r="B1026" i="1"/>
  <c r="C1027" i="1"/>
  <c r="B1027" i="1"/>
  <c r="C1028" i="1"/>
  <c r="B1028" i="1"/>
  <c r="C1029" i="1"/>
  <c r="B1029" i="1"/>
  <c r="C1030" i="1"/>
  <c r="B1030" i="1"/>
  <c r="C1031" i="1"/>
  <c r="B1031" i="1"/>
  <c r="C1032" i="1"/>
  <c r="B1032" i="1"/>
  <c r="C1033" i="1"/>
  <c r="B1033" i="1"/>
  <c r="C1034" i="1"/>
  <c r="B1034" i="1"/>
  <c r="C1035" i="1"/>
  <c r="B1035" i="1"/>
  <c r="C1036" i="1"/>
  <c r="B1036" i="1"/>
  <c r="C1037" i="1"/>
  <c r="B1037" i="1"/>
  <c r="C1038" i="1"/>
  <c r="B1038" i="1"/>
  <c r="C1039" i="1"/>
  <c r="B1039" i="1"/>
  <c r="C1040" i="1"/>
  <c r="B1040" i="1"/>
  <c r="C1041" i="1"/>
  <c r="B1041" i="1"/>
  <c r="C1042" i="1"/>
  <c r="B1042" i="1"/>
  <c r="C1043" i="1"/>
  <c r="B1043" i="1"/>
  <c r="C1044" i="1"/>
  <c r="B1044" i="1"/>
  <c r="C1045" i="1"/>
  <c r="B1045" i="1"/>
  <c r="C1046" i="1"/>
  <c r="B1046" i="1"/>
  <c r="C1047" i="1"/>
  <c r="B1047" i="1"/>
  <c r="C1048" i="1"/>
  <c r="B1048" i="1"/>
  <c r="C1049" i="1"/>
  <c r="B1049" i="1"/>
  <c r="C1050" i="1"/>
  <c r="B1050" i="1"/>
  <c r="C1051" i="1"/>
  <c r="B1051" i="1"/>
  <c r="C1052" i="1"/>
  <c r="B1052" i="1"/>
  <c r="C1053" i="1"/>
  <c r="B1053" i="1"/>
  <c r="C1054" i="1"/>
  <c r="B1054" i="1"/>
  <c r="C1055" i="1"/>
  <c r="B1055" i="1"/>
  <c r="C1056" i="1"/>
  <c r="B1056" i="1"/>
  <c r="C1057" i="1"/>
  <c r="B1057" i="1"/>
  <c r="C1058" i="1"/>
  <c r="B1058" i="1"/>
  <c r="C1059" i="1"/>
  <c r="B1059" i="1"/>
  <c r="C1060" i="1"/>
  <c r="B1060" i="1"/>
  <c r="C1061" i="1"/>
  <c r="B1061" i="1"/>
  <c r="C1062" i="1"/>
  <c r="B1062" i="1"/>
  <c r="C1063" i="1"/>
  <c r="B1063" i="1"/>
  <c r="C1064" i="1"/>
  <c r="B1064" i="1"/>
  <c r="C1065" i="1"/>
  <c r="B1065" i="1"/>
  <c r="C1066" i="1"/>
  <c r="B1066" i="1"/>
  <c r="C1067" i="1"/>
  <c r="B1067" i="1"/>
  <c r="C1068" i="1"/>
  <c r="B1068" i="1"/>
  <c r="C1069" i="1"/>
  <c r="B1069" i="1"/>
  <c r="C1070" i="1"/>
  <c r="B1070" i="1"/>
  <c r="C1071" i="1"/>
  <c r="B1071" i="1"/>
  <c r="C1072" i="1"/>
  <c r="B1072" i="1"/>
  <c r="C1073" i="1"/>
  <c r="B1073" i="1"/>
  <c r="C1074" i="1"/>
  <c r="B1074" i="1"/>
  <c r="C1075" i="1"/>
  <c r="B1075" i="1"/>
  <c r="C1076" i="1"/>
  <c r="B1076" i="1"/>
  <c r="C1077" i="1"/>
  <c r="B1077" i="1"/>
  <c r="C1078" i="1"/>
  <c r="B1078" i="1"/>
  <c r="C1079" i="1"/>
  <c r="B1079" i="1"/>
  <c r="C1080" i="1"/>
  <c r="B1080" i="1"/>
  <c r="C1081" i="1"/>
  <c r="B1081" i="1"/>
  <c r="C1082" i="1"/>
  <c r="B1082" i="1"/>
  <c r="C1083" i="1"/>
  <c r="B1083" i="1"/>
  <c r="C1084" i="1"/>
  <c r="B1084" i="1"/>
  <c r="C1085" i="1"/>
  <c r="B1085" i="1"/>
  <c r="C1086" i="1"/>
  <c r="B1086" i="1"/>
  <c r="C1087" i="1"/>
  <c r="B1087" i="1"/>
  <c r="C1088" i="1"/>
  <c r="B1088" i="1"/>
  <c r="C1089" i="1"/>
  <c r="B1089" i="1"/>
  <c r="C1090" i="1"/>
  <c r="B1090" i="1"/>
  <c r="C1091" i="1"/>
  <c r="B1091" i="1"/>
  <c r="C1092" i="1"/>
  <c r="B1092" i="1"/>
  <c r="C1093" i="1"/>
  <c r="B1093" i="1"/>
  <c r="C1094" i="1"/>
  <c r="B1094" i="1"/>
  <c r="C1095" i="1"/>
  <c r="B1095" i="1"/>
  <c r="C1096" i="1"/>
  <c r="B1096" i="1"/>
  <c r="C1097" i="1"/>
  <c r="B1097" i="1"/>
  <c r="C1098" i="1"/>
  <c r="B1098" i="1"/>
  <c r="C1099" i="1"/>
  <c r="B1099" i="1"/>
  <c r="C1100" i="1"/>
  <c r="B1100" i="1"/>
  <c r="C1101" i="1"/>
  <c r="B1101" i="1"/>
  <c r="C1102" i="1"/>
  <c r="B1102" i="1"/>
  <c r="C1103" i="1"/>
  <c r="B1103" i="1"/>
  <c r="C1104" i="1"/>
  <c r="B1104" i="1"/>
  <c r="C1105" i="1"/>
  <c r="B1105" i="1"/>
  <c r="C1106" i="1"/>
  <c r="B1106" i="1"/>
  <c r="C1107" i="1"/>
  <c r="B1107" i="1"/>
  <c r="C1108" i="1"/>
  <c r="B1108" i="1"/>
  <c r="C1109" i="1"/>
  <c r="B1109" i="1"/>
  <c r="C1110" i="1"/>
  <c r="B1110" i="1"/>
  <c r="C1111" i="1"/>
  <c r="B1111" i="1"/>
  <c r="C1112" i="1"/>
  <c r="B1112" i="1"/>
  <c r="C1113" i="1"/>
  <c r="B1113" i="1"/>
  <c r="C1114" i="1"/>
  <c r="B1114" i="1"/>
  <c r="C1115" i="1"/>
  <c r="B1115" i="1"/>
  <c r="C1116" i="1"/>
  <c r="B1116" i="1"/>
  <c r="C1117" i="1"/>
  <c r="B1117" i="1"/>
  <c r="C1118" i="1"/>
  <c r="B1118" i="1"/>
  <c r="C1119" i="1"/>
  <c r="B1119" i="1"/>
  <c r="C1120" i="1"/>
  <c r="B1120" i="1"/>
  <c r="C1121" i="1"/>
  <c r="B1121" i="1"/>
  <c r="C1122" i="1"/>
  <c r="B1122" i="1"/>
  <c r="C1123" i="1"/>
  <c r="B1123" i="1"/>
  <c r="C1124" i="1"/>
  <c r="B1124" i="1"/>
  <c r="C1125" i="1"/>
  <c r="B1125" i="1"/>
  <c r="C1126" i="1"/>
  <c r="B1126" i="1"/>
  <c r="C1127" i="1"/>
  <c r="B1127" i="1"/>
  <c r="C1128" i="1"/>
  <c r="B1128" i="1"/>
  <c r="C1129" i="1"/>
  <c r="B1129" i="1"/>
  <c r="C1130" i="1"/>
  <c r="B1130" i="1"/>
  <c r="C1131" i="1"/>
  <c r="B1131" i="1"/>
  <c r="C1132" i="1"/>
  <c r="B1132" i="1"/>
  <c r="C1133" i="1"/>
  <c r="B1133" i="1"/>
  <c r="C1134" i="1"/>
  <c r="B1134" i="1"/>
  <c r="C1135" i="1"/>
  <c r="B1135" i="1"/>
  <c r="C1136" i="1"/>
  <c r="B1136" i="1"/>
  <c r="C1137" i="1"/>
  <c r="B1137" i="1"/>
  <c r="C1138" i="1"/>
  <c r="B1138" i="1"/>
  <c r="C1139" i="1"/>
  <c r="B1139" i="1"/>
  <c r="C1140" i="1"/>
  <c r="B1140" i="1"/>
  <c r="C1141" i="1"/>
  <c r="B1141" i="1"/>
  <c r="C1142" i="1"/>
  <c r="B1142" i="1"/>
  <c r="C1143" i="1"/>
  <c r="B1143" i="1"/>
  <c r="C1144" i="1"/>
  <c r="B1144" i="1"/>
  <c r="C1145" i="1"/>
  <c r="B1145" i="1"/>
  <c r="C1146" i="1"/>
  <c r="B1146" i="1"/>
  <c r="C1147" i="1"/>
  <c r="B1147" i="1"/>
  <c r="C1148" i="1"/>
  <c r="B1148" i="1"/>
  <c r="C1149" i="1"/>
  <c r="B1149" i="1"/>
  <c r="C1150" i="1"/>
  <c r="B1150" i="1"/>
  <c r="C1151" i="1"/>
  <c r="B1151" i="1"/>
  <c r="C1152" i="1"/>
  <c r="B1152" i="1"/>
  <c r="C1153" i="1"/>
  <c r="B1153" i="1"/>
  <c r="C1154" i="1"/>
  <c r="B1154" i="1"/>
  <c r="C1155" i="1"/>
  <c r="B1155" i="1"/>
  <c r="C1156" i="1"/>
  <c r="B1156" i="1"/>
  <c r="C1157" i="1"/>
  <c r="B1157" i="1"/>
  <c r="C1158" i="1"/>
  <c r="B1158" i="1"/>
  <c r="C1159" i="1"/>
  <c r="B1159" i="1"/>
  <c r="C1160" i="1"/>
  <c r="B1160" i="1"/>
  <c r="C1161" i="1"/>
  <c r="B1161" i="1"/>
  <c r="C1162" i="1"/>
  <c r="B1162" i="1"/>
  <c r="C1163" i="1"/>
  <c r="B1163" i="1"/>
  <c r="C1164" i="1"/>
  <c r="B1164" i="1"/>
  <c r="C1165" i="1"/>
  <c r="B1165" i="1"/>
  <c r="C1166" i="1"/>
  <c r="B1166" i="1"/>
  <c r="C1167" i="1"/>
  <c r="B1167" i="1"/>
  <c r="C1168" i="1"/>
  <c r="B1168" i="1"/>
  <c r="C1169" i="1"/>
  <c r="B1169" i="1"/>
  <c r="C1170" i="1"/>
  <c r="B1170" i="1"/>
  <c r="C1171" i="1"/>
  <c r="B1171" i="1"/>
  <c r="C1172" i="1"/>
  <c r="B1172" i="1"/>
  <c r="C1173" i="1"/>
  <c r="B1173" i="1"/>
  <c r="C1174" i="1"/>
  <c r="B1174" i="1"/>
  <c r="C1175" i="1"/>
  <c r="B1175" i="1"/>
  <c r="C1176" i="1"/>
  <c r="B1176" i="1"/>
  <c r="C1177" i="1"/>
  <c r="B1177" i="1"/>
  <c r="C1178" i="1"/>
  <c r="B1178" i="1"/>
  <c r="C1179" i="1"/>
  <c r="B1179" i="1"/>
  <c r="C1180" i="1"/>
  <c r="B1180" i="1"/>
  <c r="C1181" i="1"/>
  <c r="B1181" i="1"/>
  <c r="C1182" i="1"/>
  <c r="B1182" i="1"/>
  <c r="C1183" i="1"/>
  <c r="B1183" i="1"/>
  <c r="C1184" i="1"/>
  <c r="B1184" i="1"/>
  <c r="C1185" i="1"/>
  <c r="B1185" i="1"/>
  <c r="C1186" i="1"/>
  <c r="B1186" i="1"/>
  <c r="C1187" i="1"/>
  <c r="B1187" i="1"/>
  <c r="C1188" i="1"/>
  <c r="B1188" i="1"/>
  <c r="C1189" i="1"/>
  <c r="B1189" i="1"/>
  <c r="C1190" i="1"/>
  <c r="B1190" i="1"/>
  <c r="C1191" i="1"/>
  <c r="B1191" i="1"/>
  <c r="C1192" i="1"/>
  <c r="B1192" i="1"/>
  <c r="C1193" i="1"/>
  <c r="B1193" i="1"/>
  <c r="C1194" i="1"/>
  <c r="B1194" i="1"/>
  <c r="C1195" i="1"/>
  <c r="B1195" i="1"/>
  <c r="C1196" i="1"/>
  <c r="B1196" i="1"/>
  <c r="C1197" i="1"/>
  <c r="B1197" i="1"/>
  <c r="C1198" i="1"/>
  <c r="B1198" i="1"/>
  <c r="C1199" i="1"/>
  <c r="B1199" i="1"/>
  <c r="C1200" i="1"/>
  <c r="B1200" i="1"/>
  <c r="C1201" i="1"/>
  <c r="B1201" i="1"/>
  <c r="C1202" i="1"/>
  <c r="B1202" i="1"/>
  <c r="C1203" i="1"/>
  <c r="B1203" i="1"/>
  <c r="C1204" i="1"/>
  <c r="B1204" i="1"/>
  <c r="C1205" i="1"/>
  <c r="B1205" i="1"/>
  <c r="C1206" i="1"/>
  <c r="B1206" i="1"/>
  <c r="C1207" i="1"/>
  <c r="B1207" i="1"/>
  <c r="C1208" i="1"/>
  <c r="B1208" i="1"/>
  <c r="C1209" i="1"/>
  <c r="B1209" i="1"/>
  <c r="C1210" i="1"/>
  <c r="B1210" i="1"/>
  <c r="C1211" i="1"/>
  <c r="B1211" i="1"/>
  <c r="C1212" i="1"/>
  <c r="B1212" i="1"/>
  <c r="C1213" i="1"/>
  <c r="B1213" i="1"/>
  <c r="C1214" i="1"/>
  <c r="B1214" i="1"/>
  <c r="C1215" i="1"/>
  <c r="B1215" i="1"/>
  <c r="C1216" i="1"/>
  <c r="B1216" i="1"/>
  <c r="C1217" i="1"/>
  <c r="B1217" i="1"/>
  <c r="C1218" i="1"/>
  <c r="B1218" i="1"/>
  <c r="C1219" i="1"/>
  <c r="B1219" i="1"/>
  <c r="C1220" i="1"/>
  <c r="B1220" i="1"/>
  <c r="C1221" i="1"/>
  <c r="B1221" i="1"/>
  <c r="C1222" i="1"/>
  <c r="B1222" i="1"/>
  <c r="C1223" i="1"/>
  <c r="B1223" i="1"/>
  <c r="C1224" i="1"/>
  <c r="B1224" i="1"/>
  <c r="C1225" i="1"/>
  <c r="B1225" i="1"/>
  <c r="C1226" i="1"/>
  <c r="B1226" i="1"/>
  <c r="C1227" i="1"/>
  <c r="B1227" i="1"/>
  <c r="C1228" i="1"/>
  <c r="B1228" i="1"/>
  <c r="C1229" i="1"/>
  <c r="B1229" i="1"/>
  <c r="C1230" i="1"/>
  <c r="B1230" i="1"/>
  <c r="C1231" i="1"/>
  <c r="B1231" i="1"/>
  <c r="C1232" i="1"/>
  <c r="B1232" i="1"/>
  <c r="C1233" i="1"/>
  <c r="B1233" i="1"/>
  <c r="C1234" i="1"/>
  <c r="B1234" i="1"/>
  <c r="C1235" i="1"/>
  <c r="B1235" i="1"/>
  <c r="C1236" i="1"/>
  <c r="B1236" i="1"/>
  <c r="C1237" i="1"/>
  <c r="B1237" i="1"/>
  <c r="C1238" i="1"/>
  <c r="B1238" i="1"/>
  <c r="C1239" i="1"/>
  <c r="B1239" i="1"/>
  <c r="C1240" i="1"/>
  <c r="B1240" i="1"/>
  <c r="C1241" i="1"/>
  <c r="B1241" i="1"/>
  <c r="C1242" i="1"/>
  <c r="B1242" i="1"/>
  <c r="C1243" i="1"/>
  <c r="B1243" i="1"/>
  <c r="C1244" i="1"/>
  <c r="B1244" i="1"/>
  <c r="C1245" i="1"/>
  <c r="B1245" i="1"/>
  <c r="C1246" i="1"/>
  <c r="B1246" i="1"/>
  <c r="C1247" i="1"/>
  <c r="B1247" i="1"/>
  <c r="C1248" i="1"/>
  <c r="B1248" i="1"/>
  <c r="C1249" i="1"/>
  <c r="C1250" i="1"/>
  <c r="B1250" i="1"/>
  <c r="C1251" i="1"/>
  <c r="B1251" i="1"/>
  <c r="C1252" i="1"/>
  <c r="B1252" i="1"/>
  <c r="C1253" i="1"/>
  <c r="B1253" i="1"/>
  <c r="C1254" i="1"/>
  <c r="B1254" i="1"/>
  <c r="C1255" i="1"/>
  <c r="B1255" i="1"/>
  <c r="C1256" i="1"/>
  <c r="B1256" i="1"/>
  <c r="C1257" i="1"/>
  <c r="B1257" i="1"/>
  <c r="C1258" i="1"/>
  <c r="B1258" i="1"/>
  <c r="C1259" i="1"/>
  <c r="B1259" i="1"/>
  <c r="C1260" i="1"/>
  <c r="B1260" i="1"/>
  <c r="C1261" i="1"/>
  <c r="B1261" i="1"/>
  <c r="C1262" i="1"/>
  <c r="B1262" i="1"/>
  <c r="C1263" i="1"/>
  <c r="B1263" i="1"/>
  <c r="C1264" i="1"/>
  <c r="B1264" i="1"/>
  <c r="C1265" i="1"/>
  <c r="B1265" i="1"/>
  <c r="C1266" i="1"/>
  <c r="B1266" i="1"/>
  <c r="C1267" i="1"/>
  <c r="B1267" i="1"/>
  <c r="C1268" i="1"/>
  <c r="B1268" i="1"/>
  <c r="C1269" i="1"/>
  <c r="B1269" i="1"/>
  <c r="C1270" i="1"/>
  <c r="B1270" i="1"/>
  <c r="C1271" i="1"/>
  <c r="B1271" i="1"/>
  <c r="C1272" i="1"/>
  <c r="B1272" i="1"/>
  <c r="C1273" i="1"/>
  <c r="B1273" i="1"/>
  <c r="C1274" i="1"/>
  <c r="B1274" i="1"/>
  <c r="C1275" i="1"/>
  <c r="B1275" i="1"/>
  <c r="C1276" i="1"/>
  <c r="B1276" i="1"/>
  <c r="C1277" i="1"/>
  <c r="B1277" i="1"/>
  <c r="C1278" i="1"/>
  <c r="B1278" i="1"/>
  <c r="C1279" i="1"/>
  <c r="B1279" i="1"/>
  <c r="C1280" i="1"/>
  <c r="B1280" i="1"/>
  <c r="C1281" i="1"/>
  <c r="B1281" i="1"/>
  <c r="C1282" i="1"/>
  <c r="B1282" i="1"/>
  <c r="C1283" i="1"/>
  <c r="B1283" i="1"/>
  <c r="C1284" i="1"/>
  <c r="B1284" i="1"/>
  <c r="C1285" i="1"/>
  <c r="B1285" i="1"/>
  <c r="C1286" i="1"/>
  <c r="B1286" i="1"/>
  <c r="C1287" i="1"/>
  <c r="B1287" i="1"/>
  <c r="C1288" i="1"/>
  <c r="B1288" i="1"/>
  <c r="C1289" i="1"/>
  <c r="B1289" i="1"/>
  <c r="C1290" i="1"/>
  <c r="B1290" i="1"/>
  <c r="C1291" i="1"/>
  <c r="B1291" i="1"/>
  <c r="C1292" i="1"/>
  <c r="B1292" i="1"/>
  <c r="C1293" i="1"/>
  <c r="B1293" i="1"/>
  <c r="C1294" i="1"/>
  <c r="B1294" i="1"/>
  <c r="C1295" i="1"/>
  <c r="B1295" i="1"/>
  <c r="C1296" i="1"/>
  <c r="B1296" i="1"/>
  <c r="C1297" i="1"/>
  <c r="B1297" i="1"/>
  <c r="C1298" i="1"/>
  <c r="B1298" i="1"/>
  <c r="C1299" i="1"/>
  <c r="B1299" i="1"/>
  <c r="C1300" i="1"/>
  <c r="B1300" i="1"/>
  <c r="C1301" i="1"/>
  <c r="B1301" i="1"/>
  <c r="C1302" i="1"/>
  <c r="B1302" i="1"/>
  <c r="C1303" i="1"/>
  <c r="B1303" i="1"/>
  <c r="C1304" i="1"/>
  <c r="B1304" i="1"/>
  <c r="C1305" i="1"/>
  <c r="B1305" i="1"/>
  <c r="C1306" i="1"/>
  <c r="B1306" i="1"/>
  <c r="C1307" i="1"/>
  <c r="B1307" i="1"/>
  <c r="C1308" i="1"/>
  <c r="B1308" i="1"/>
  <c r="C1309" i="1"/>
  <c r="B1309" i="1"/>
  <c r="C1310" i="1"/>
  <c r="B1310" i="1"/>
  <c r="C1311" i="1"/>
  <c r="B1311" i="1"/>
  <c r="C1312" i="1"/>
  <c r="B1312" i="1"/>
  <c r="C1313" i="1"/>
  <c r="B1313" i="1"/>
  <c r="C1314" i="1"/>
  <c r="B1314" i="1"/>
  <c r="C1315" i="1"/>
  <c r="B1315" i="1"/>
  <c r="C1316" i="1"/>
  <c r="B1316" i="1"/>
  <c r="C1317" i="1"/>
  <c r="B1317" i="1"/>
  <c r="C1318" i="1"/>
  <c r="B1318" i="1"/>
  <c r="C1319" i="1"/>
  <c r="B1319" i="1"/>
  <c r="C1320" i="1"/>
  <c r="B1320" i="1"/>
  <c r="C1321" i="1"/>
  <c r="B1321" i="1"/>
  <c r="C1322" i="1"/>
  <c r="B1322" i="1"/>
  <c r="C1323" i="1"/>
  <c r="B1323" i="1"/>
  <c r="C1324" i="1"/>
  <c r="B1324" i="1"/>
  <c r="C1325" i="1"/>
  <c r="B1325" i="1"/>
  <c r="C1326" i="1"/>
  <c r="B1326" i="1"/>
  <c r="C1327" i="1"/>
  <c r="B1327" i="1"/>
  <c r="C1328" i="1"/>
  <c r="B1328" i="1"/>
  <c r="C1329" i="1"/>
  <c r="B1329" i="1"/>
  <c r="C1330" i="1"/>
  <c r="B1330" i="1"/>
  <c r="C1331" i="1"/>
  <c r="B1331" i="1"/>
  <c r="C1332" i="1"/>
  <c r="B1332" i="1"/>
  <c r="C1333" i="1"/>
  <c r="B1333" i="1"/>
  <c r="C1334" i="1"/>
  <c r="B1334" i="1"/>
  <c r="C1335" i="1"/>
  <c r="B1335" i="1"/>
  <c r="C1336" i="1"/>
  <c r="B1336" i="1"/>
  <c r="C1337" i="1"/>
  <c r="B1337" i="1"/>
  <c r="C1338" i="1"/>
  <c r="B1338" i="1"/>
  <c r="C1339" i="1"/>
  <c r="B1339" i="1"/>
  <c r="C1340" i="1"/>
  <c r="B1340" i="1"/>
  <c r="C1341" i="1"/>
  <c r="B1341" i="1"/>
  <c r="C1342" i="1"/>
  <c r="B1342" i="1"/>
  <c r="C1343" i="1"/>
  <c r="B1343" i="1"/>
  <c r="C1344" i="1"/>
  <c r="B1344" i="1"/>
  <c r="C1345" i="1"/>
  <c r="B1345" i="1"/>
  <c r="C1346" i="1"/>
  <c r="B1346" i="1"/>
  <c r="C1347" i="1"/>
  <c r="B1347" i="1"/>
  <c r="C1348" i="1"/>
  <c r="B1348" i="1"/>
  <c r="C1349" i="1"/>
  <c r="B1349" i="1"/>
  <c r="C1350" i="1"/>
  <c r="B1350" i="1"/>
  <c r="C1351" i="1"/>
  <c r="B1351" i="1"/>
  <c r="C1352" i="1"/>
  <c r="B1352" i="1"/>
  <c r="C1353" i="1"/>
  <c r="B1353" i="1"/>
  <c r="C1354" i="1"/>
  <c r="B1354" i="1"/>
  <c r="C1355" i="1"/>
  <c r="B1355" i="1"/>
  <c r="C1356" i="1"/>
  <c r="B1356" i="1"/>
  <c r="C1357" i="1"/>
  <c r="B1357" i="1"/>
  <c r="C1358" i="1"/>
  <c r="B1358" i="1"/>
  <c r="C1359" i="1"/>
  <c r="B1359" i="1"/>
  <c r="C1360" i="1"/>
  <c r="B1360" i="1"/>
  <c r="C1361" i="1"/>
  <c r="B1361" i="1"/>
  <c r="C1362" i="1"/>
  <c r="B1362" i="1"/>
  <c r="C1363" i="1"/>
  <c r="B1363" i="1"/>
  <c r="C1364" i="1"/>
  <c r="B1364" i="1"/>
  <c r="C1365" i="1"/>
  <c r="B1365" i="1"/>
  <c r="C1366" i="1"/>
  <c r="B1366" i="1"/>
  <c r="C1367" i="1"/>
  <c r="B1367" i="1"/>
  <c r="C1368" i="1"/>
  <c r="B1368" i="1"/>
  <c r="C1369" i="1"/>
  <c r="B1369" i="1"/>
  <c r="C1370" i="1"/>
  <c r="B1370" i="1"/>
  <c r="C1371" i="1"/>
  <c r="B1371" i="1"/>
  <c r="C1372" i="1"/>
  <c r="B1372" i="1"/>
  <c r="C1373" i="1"/>
  <c r="B1373" i="1"/>
  <c r="C1374" i="1"/>
  <c r="B1374" i="1"/>
  <c r="C1375" i="1"/>
  <c r="B1375" i="1"/>
  <c r="C1376" i="1"/>
  <c r="B1376" i="1"/>
  <c r="C1377" i="1"/>
  <c r="B1377" i="1"/>
  <c r="C1378" i="1"/>
  <c r="B1378" i="1"/>
  <c r="C1379" i="1"/>
  <c r="B1379" i="1"/>
  <c r="C1380" i="1"/>
  <c r="B1380" i="1"/>
  <c r="C1381" i="1"/>
  <c r="B1381" i="1"/>
  <c r="C1382" i="1"/>
  <c r="B1382" i="1"/>
  <c r="C1383" i="1"/>
  <c r="B1383" i="1"/>
  <c r="C1384" i="1"/>
  <c r="B1384" i="1"/>
  <c r="C1385" i="1"/>
  <c r="B1385" i="1"/>
  <c r="C1386" i="1"/>
  <c r="B1386" i="1"/>
  <c r="C1387" i="1"/>
  <c r="B1387" i="1"/>
  <c r="C1388" i="1"/>
  <c r="B1388" i="1"/>
  <c r="C1389" i="1"/>
  <c r="B1389" i="1"/>
  <c r="C1390" i="1"/>
  <c r="B1390" i="1"/>
  <c r="C1391" i="1"/>
  <c r="B1391" i="1"/>
  <c r="C1392" i="1"/>
  <c r="B1392" i="1"/>
  <c r="C1393" i="1"/>
  <c r="B1393" i="1"/>
  <c r="C1394" i="1"/>
  <c r="B1394" i="1"/>
  <c r="C1395" i="1"/>
  <c r="B1395" i="1"/>
  <c r="C1396" i="1"/>
  <c r="B1396" i="1"/>
  <c r="C1397" i="1"/>
  <c r="B1397" i="1"/>
  <c r="C1398" i="1"/>
  <c r="B1398" i="1"/>
  <c r="C1399" i="1"/>
  <c r="B1399" i="1"/>
  <c r="C1400" i="1"/>
  <c r="B1400" i="1"/>
  <c r="C1401" i="1"/>
  <c r="B1401" i="1"/>
  <c r="C1402" i="1"/>
  <c r="B1402" i="1"/>
  <c r="C1403" i="1"/>
  <c r="B1403" i="1"/>
  <c r="C1404" i="1"/>
  <c r="B1404" i="1"/>
  <c r="C1405" i="1"/>
  <c r="B1405" i="1"/>
  <c r="C1406" i="1"/>
  <c r="B1406" i="1"/>
  <c r="C1407" i="1"/>
  <c r="B1407" i="1"/>
  <c r="C1408" i="1"/>
  <c r="B1408" i="1"/>
  <c r="C1409" i="1"/>
  <c r="B1409" i="1"/>
  <c r="C1410" i="1"/>
  <c r="B1410" i="1"/>
  <c r="C1411" i="1"/>
  <c r="B1411" i="1"/>
  <c r="C1412" i="1"/>
  <c r="B1412" i="1"/>
  <c r="C1413" i="1"/>
  <c r="B1413" i="1"/>
  <c r="C1414" i="1"/>
  <c r="B1414" i="1"/>
  <c r="C1415" i="1"/>
  <c r="B1415" i="1"/>
  <c r="C1416" i="1"/>
  <c r="B1416" i="1"/>
  <c r="C1417" i="1"/>
  <c r="B1417" i="1"/>
  <c r="C1418" i="1"/>
  <c r="B1418" i="1"/>
  <c r="C1419" i="1"/>
  <c r="B1419" i="1"/>
  <c r="C1420" i="1"/>
  <c r="B1420" i="1"/>
  <c r="C1421" i="1"/>
  <c r="B1421" i="1"/>
  <c r="C1422" i="1"/>
  <c r="B1422" i="1"/>
  <c r="C1423" i="1"/>
  <c r="B1423" i="1"/>
  <c r="C1424" i="1"/>
  <c r="B1424" i="1"/>
  <c r="C1425" i="1"/>
  <c r="B1425" i="1"/>
  <c r="C1426" i="1"/>
  <c r="B1426" i="1"/>
  <c r="C1427" i="1"/>
  <c r="B1427" i="1"/>
  <c r="C1428" i="1"/>
  <c r="B1428" i="1"/>
  <c r="C1429" i="1"/>
  <c r="B1429" i="1"/>
  <c r="C1430" i="1"/>
  <c r="B1430" i="1"/>
  <c r="C1431" i="1"/>
  <c r="B1431" i="1"/>
  <c r="C1432" i="1"/>
  <c r="B1432" i="1"/>
  <c r="C1433" i="1"/>
  <c r="B1433" i="1"/>
  <c r="C1434" i="1"/>
  <c r="B1434" i="1"/>
  <c r="C1435" i="1"/>
  <c r="B1435" i="1"/>
  <c r="C1436" i="1"/>
  <c r="B1436" i="1"/>
  <c r="C1437" i="1"/>
  <c r="B1437" i="1"/>
  <c r="C1438" i="1"/>
  <c r="B1438" i="1"/>
  <c r="C1439" i="1"/>
  <c r="B1439" i="1"/>
  <c r="C1440" i="1"/>
  <c r="B1440" i="1"/>
  <c r="C1441" i="1"/>
  <c r="B1441" i="1"/>
  <c r="C1442" i="1"/>
  <c r="B1442" i="1"/>
  <c r="C1443" i="1"/>
  <c r="B1443" i="1"/>
  <c r="C1444" i="1"/>
  <c r="B1444" i="1"/>
  <c r="C1445" i="1"/>
  <c r="B1445" i="1"/>
  <c r="C1446" i="1"/>
  <c r="B1446" i="1"/>
  <c r="C1447" i="1"/>
  <c r="B1447" i="1"/>
  <c r="C1448" i="1"/>
  <c r="B1448" i="1"/>
  <c r="C1449" i="1"/>
  <c r="B1449" i="1"/>
  <c r="C1450" i="1"/>
  <c r="B1450" i="1"/>
  <c r="C1451" i="1"/>
  <c r="B1451" i="1"/>
  <c r="C1452" i="1"/>
  <c r="B1452" i="1"/>
  <c r="C1453" i="1"/>
  <c r="B1453" i="1"/>
  <c r="C1454" i="1"/>
  <c r="B1454" i="1"/>
  <c r="C1455" i="1"/>
  <c r="B1455" i="1"/>
  <c r="C1456" i="1"/>
  <c r="B1456" i="1"/>
  <c r="C1457" i="1"/>
  <c r="B1457" i="1"/>
  <c r="C1458" i="1"/>
  <c r="B1458" i="1"/>
  <c r="C1459" i="1"/>
  <c r="B1459" i="1"/>
  <c r="C1460" i="1"/>
  <c r="B1460" i="1"/>
  <c r="C1461" i="1"/>
  <c r="B1461" i="1"/>
  <c r="C1462" i="1"/>
  <c r="B1462" i="1"/>
  <c r="C1463" i="1"/>
  <c r="B1463" i="1"/>
  <c r="C1464" i="1"/>
  <c r="B1464" i="1"/>
  <c r="C1465" i="1"/>
  <c r="B1465" i="1"/>
  <c r="C1466" i="1"/>
  <c r="B1466" i="1"/>
  <c r="C1467" i="1"/>
  <c r="B1467" i="1"/>
  <c r="C1468" i="1"/>
  <c r="B1468" i="1"/>
  <c r="C1469" i="1"/>
  <c r="B1469" i="1"/>
  <c r="C1470" i="1"/>
  <c r="B1470" i="1"/>
  <c r="C1471" i="1"/>
  <c r="B1471" i="1"/>
  <c r="C1472" i="1"/>
  <c r="B1472" i="1"/>
  <c r="C1473" i="1"/>
  <c r="B1473" i="1"/>
  <c r="C1474" i="1"/>
  <c r="B1474" i="1"/>
  <c r="C1475" i="1"/>
  <c r="B1475" i="1"/>
  <c r="C1476" i="1"/>
  <c r="B1476" i="1"/>
  <c r="C1477" i="1"/>
  <c r="B1477" i="1"/>
  <c r="C1478" i="1"/>
  <c r="B1478" i="1"/>
  <c r="C1479" i="1"/>
  <c r="B1479" i="1"/>
  <c r="C1480" i="1"/>
  <c r="B1480" i="1"/>
  <c r="C1481" i="1"/>
  <c r="B1481" i="1"/>
  <c r="C1482" i="1"/>
  <c r="B1482" i="1"/>
  <c r="C1483" i="1"/>
  <c r="B1483" i="1"/>
  <c r="C1484" i="1"/>
  <c r="B1484" i="1"/>
  <c r="C1485" i="1"/>
  <c r="B1485" i="1"/>
  <c r="C1486" i="1"/>
  <c r="B1486" i="1"/>
  <c r="C1487" i="1"/>
  <c r="B1487" i="1"/>
  <c r="C1488" i="1"/>
  <c r="B1488" i="1"/>
  <c r="C1489" i="1"/>
  <c r="B1489" i="1"/>
  <c r="C1490" i="1"/>
  <c r="B1490" i="1"/>
  <c r="C1491" i="1"/>
  <c r="B1491" i="1"/>
  <c r="C1492" i="1"/>
  <c r="B1492" i="1"/>
  <c r="C1493" i="1"/>
  <c r="B1493" i="1"/>
  <c r="C1494" i="1"/>
  <c r="B1494" i="1"/>
  <c r="C1495" i="1"/>
  <c r="B1495" i="1"/>
  <c r="C1496" i="1"/>
  <c r="B1496" i="1"/>
  <c r="C1497" i="1"/>
  <c r="B1497" i="1"/>
  <c r="C1498" i="1"/>
  <c r="B1498" i="1"/>
  <c r="C1499" i="1"/>
  <c r="B1499" i="1"/>
  <c r="C1500" i="1"/>
  <c r="B1500" i="1"/>
  <c r="C1501" i="1"/>
  <c r="B1501" i="1"/>
  <c r="C1502" i="1"/>
  <c r="B1502" i="1"/>
  <c r="C1503" i="1"/>
  <c r="B1503" i="1"/>
  <c r="C1504" i="1"/>
  <c r="B1504" i="1"/>
  <c r="C1505" i="1"/>
  <c r="B1505" i="1"/>
  <c r="C1506" i="1"/>
  <c r="B1506" i="1"/>
  <c r="C1507" i="1"/>
  <c r="B1507" i="1"/>
  <c r="C1508" i="1"/>
  <c r="B1508" i="1"/>
  <c r="C1509" i="1"/>
  <c r="B1509" i="1"/>
  <c r="C1510" i="1"/>
  <c r="B1510" i="1"/>
  <c r="C1511" i="1"/>
  <c r="B1511" i="1"/>
  <c r="C1512" i="1"/>
  <c r="B1512" i="1"/>
  <c r="C1513" i="1"/>
  <c r="B1513" i="1"/>
  <c r="C1514" i="1"/>
  <c r="B1514" i="1"/>
  <c r="C1515" i="1"/>
  <c r="B1515" i="1"/>
  <c r="C1516" i="1"/>
  <c r="B1516" i="1"/>
  <c r="C1517" i="1"/>
  <c r="B1517" i="1"/>
  <c r="C1518" i="1"/>
  <c r="B1518" i="1"/>
  <c r="C1519" i="1"/>
  <c r="B1519" i="1"/>
  <c r="C1520" i="1"/>
  <c r="B1520" i="1"/>
  <c r="C1521" i="1"/>
  <c r="B1521" i="1"/>
  <c r="C1522" i="1"/>
  <c r="B1522" i="1"/>
  <c r="C1523" i="1"/>
  <c r="B1523" i="1"/>
  <c r="C1524" i="1"/>
  <c r="B1524" i="1"/>
  <c r="C1525" i="1"/>
  <c r="B1525" i="1"/>
  <c r="C1526" i="1"/>
  <c r="B1526" i="1"/>
  <c r="C1527" i="1"/>
  <c r="B1527" i="1"/>
  <c r="C1528" i="1"/>
  <c r="B1528" i="1"/>
  <c r="C1529" i="1"/>
  <c r="B1529" i="1"/>
  <c r="C1530" i="1"/>
  <c r="B1530" i="1"/>
  <c r="C1531" i="1"/>
  <c r="B1531" i="1"/>
  <c r="C1532" i="1"/>
  <c r="B1532" i="1"/>
  <c r="C1533" i="1"/>
  <c r="B1533" i="1"/>
  <c r="C1534" i="1"/>
  <c r="B1534" i="1"/>
  <c r="C1535" i="1"/>
  <c r="B1535" i="1"/>
  <c r="C1536" i="1"/>
  <c r="B1536" i="1"/>
  <c r="C1537" i="1"/>
  <c r="B1537" i="1"/>
  <c r="C1538" i="1"/>
  <c r="B1538" i="1"/>
  <c r="C1539" i="1"/>
  <c r="B1539" i="1"/>
  <c r="C1540" i="1"/>
  <c r="B1540" i="1"/>
  <c r="C1541" i="1"/>
  <c r="B1541" i="1"/>
  <c r="C1542" i="1"/>
  <c r="B1542" i="1"/>
  <c r="C1543" i="1"/>
  <c r="B1543" i="1"/>
  <c r="C1544" i="1"/>
  <c r="B1544" i="1"/>
  <c r="C1545" i="1"/>
  <c r="B1545" i="1"/>
  <c r="C1546" i="1"/>
  <c r="B1546" i="1"/>
  <c r="C1547" i="1"/>
  <c r="B1547" i="1"/>
  <c r="C1548" i="1"/>
  <c r="B1548" i="1"/>
  <c r="C1549" i="1"/>
  <c r="B1549" i="1"/>
  <c r="C1550" i="1"/>
  <c r="B1550" i="1"/>
  <c r="C1551" i="1"/>
  <c r="B1551" i="1"/>
  <c r="C1552" i="1"/>
  <c r="B1552" i="1"/>
  <c r="C1553" i="1"/>
  <c r="B1553" i="1"/>
  <c r="C1554" i="1"/>
  <c r="B1554" i="1"/>
  <c r="C1555" i="1"/>
  <c r="B1555" i="1"/>
  <c r="C1556" i="1"/>
  <c r="B1556" i="1"/>
  <c r="C1557" i="1"/>
  <c r="B1557" i="1"/>
  <c r="C1558" i="1"/>
  <c r="B1558" i="1"/>
  <c r="C1559" i="1"/>
  <c r="B1559" i="1"/>
  <c r="C1560" i="1"/>
  <c r="B1560" i="1"/>
  <c r="C1561" i="1"/>
  <c r="B1561" i="1"/>
  <c r="C1562" i="1"/>
  <c r="B1562" i="1"/>
  <c r="C1563" i="1"/>
  <c r="B1563" i="1"/>
  <c r="C1564" i="1"/>
  <c r="B1564" i="1"/>
  <c r="C1565" i="1"/>
  <c r="B1565" i="1"/>
  <c r="C1566" i="1"/>
  <c r="B1566" i="1"/>
  <c r="C1567" i="1"/>
  <c r="B1567" i="1"/>
  <c r="C1568" i="1"/>
  <c r="B1568" i="1"/>
  <c r="C1569" i="1"/>
  <c r="B1569" i="1"/>
  <c r="C1570" i="1"/>
  <c r="B1570" i="1"/>
  <c r="C1571" i="1"/>
  <c r="B1571" i="1"/>
  <c r="C1572" i="1"/>
  <c r="B1572" i="1"/>
  <c r="C1573" i="1"/>
  <c r="B1573" i="1"/>
  <c r="C1574" i="1"/>
  <c r="B1574" i="1"/>
  <c r="C1575" i="1"/>
  <c r="B1575" i="1"/>
  <c r="C1576" i="1"/>
  <c r="B1576" i="1"/>
  <c r="C1577" i="1"/>
  <c r="B1577" i="1"/>
  <c r="C1578" i="1"/>
  <c r="B1578" i="1"/>
  <c r="C1579" i="1"/>
  <c r="B1579" i="1"/>
  <c r="C1580" i="1"/>
  <c r="B1580" i="1"/>
  <c r="C1581" i="1"/>
  <c r="B1581" i="1"/>
  <c r="C1582" i="1"/>
  <c r="B1582" i="1"/>
  <c r="C1583" i="1"/>
  <c r="B1583" i="1"/>
  <c r="C1584" i="1"/>
  <c r="B1584" i="1"/>
  <c r="C1585" i="1"/>
  <c r="B1585" i="1"/>
  <c r="C1586" i="1"/>
  <c r="B1586" i="1"/>
  <c r="C1587" i="1"/>
  <c r="B1587" i="1"/>
  <c r="C1588" i="1"/>
  <c r="B1588" i="1"/>
  <c r="C1589" i="1"/>
  <c r="B1589" i="1"/>
  <c r="C1590" i="1"/>
  <c r="B1590" i="1"/>
  <c r="C1591" i="1"/>
  <c r="B1591" i="1"/>
  <c r="C1592" i="1"/>
  <c r="B1592" i="1"/>
  <c r="C1593" i="1"/>
  <c r="B1593" i="1"/>
  <c r="C1594" i="1"/>
  <c r="B1594" i="1"/>
  <c r="C1595" i="1"/>
  <c r="B1595" i="1"/>
  <c r="C1596" i="1"/>
  <c r="B1596" i="1"/>
  <c r="C1597" i="1"/>
  <c r="B1597" i="1"/>
  <c r="C1598" i="1"/>
  <c r="B1598" i="1"/>
  <c r="C1599" i="1"/>
  <c r="B1599" i="1"/>
  <c r="C1600" i="1"/>
  <c r="B1600" i="1"/>
  <c r="C1601" i="1"/>
  <c r="B1601" i="1"/>
  <c r="C1602" i="1"/>
  <c r="B1602" i="1"/>
  <c r="C1603" i="1"/>
  <c r="B1603" i="1"/>
  <c r="C1604" i="1"/>
  <c r="B1604" i="1"/>
  <c r="C1605" i="1"/>
  <c r="B1605" i="1"/>
  <c r="C1606" i="1"/>
  <c r="B1606" i="1"/>
  <c r="C1607" i="1"/>
  <c r="B1607" i="1"/>
  <c r="C1608" i="1"/>
  <c r="B1608" i="1"/>
  <c r="C1609" i="1"/>
  <c r="B1609" i="1"/>
  <c r="C1610" i="1"/>
  <c r="B1610" i="1"/>
  <c r="C1611" i="1"/>
  <c r="B1611" i="1"/>
  <c r="C1612" i="1"/>
  <c r="B1612" i="1"/>
  <c r="C1613" i="1"/>
  <c r="B1613" i="1"/>
  <c r="C1614" i="1"/>
  <c r="B1614" i="1"/>
  <c r="C1615" i="1"/>
  <c r="B1615" i="1"/>
  <c r="C1616" i="1"/>
  <c r="B1616" i="1"/>
  <c r="C1617" i="1"/>
  <c r="B1617" i="1"/>
  <c r="C1618" i="1"/>
  <c r="B1618" i="1"/>
  <c r="C1619" i="1"/>
  <c r="B1619" i="1"/>
  <c r="C1620" i="1"/>
  <c r="B1620" i="1"/>
  <c r="C1621" i="1"/>
  <c r="B1621" i="1"/>
  <c r="C1622" i="1"/>
  <c r="B1622" i="1"/>
  <c r="C1623" i="1"/>
  <c r="B1623" i="1"/>
  <c r="C1624" i="1"/>
  <c r="B1624" i="1"/>
  <c r="C1625" i="1"/>
  <c r="B1625" i="1"/>
  <c r="C1626" i="1"/>
  <c r="B1626" i="1"/>
  <c r="C1627" i="1"/>
  <c r="B1627" i="1"/>
  <c r="C1628" i="1"/>
  <c r="B1628" i="1"/>
  <c r="C1629" i="1"/>
  <c r="B1629" i="1"/>
  <c r="C1630" i="1"/>
  <c r="B1630" i="1"/>
  <c r="C1631" i="1"/>
  <c r="B1631" i="1"/>
  <c r="C1632" i="1"/>
  <c r="B1632" i="1"/>
  <c r="C1633" i="1"/>
  <c r="B1633" i="1"/>
  <c r="C1634" i="1"/>
  <c r="B1634" i="1"/>
  <c r="C1635" i="1"/>
  <c r="B1635" i="1"/>
  <c r="C1636" i="1"/>
  <c r="B1636" i="1"/>
  <c r="C1637" i="1"/>
  <c r="B1637" i="1"/>
  <c r="C1638" i="1"/>
  <c r="B1638" i="1"/>
  <c r="C1639" i="1"/>
  <c r="B1639" i="1"/>
  <c r="C1640" i="1"/>
  <c r="B1640" i="1"/>
  <c r="C1641" i="1"/>
  <c r="B1641" i="1"/>
  <c r="C1642" i="1"/>
  <c r="B1642" i="1"/>
  <c r="C1643" i="1"/>
  <c r="B1643" i="1"/>
  <c r="C1644" i="1"/>
  <c r="B1644" i="1"/>
  <c r="C1645" i="1"/>
  <c r="B1645" i="1"/>
  <c r="C1646" i="1"/>
  <c r="B1646" i="1"/>
  <c r="C1647" i="1"/>
  <c r="B1647" i="1"/>
  <c r="C1648" i="1"/>
  <c r="B1648" i="1"/>
  <c r="C1649" i="1"/>
  <c r="B1649" i="1"/>
  <c r="C1650" i="1"/>
  <c r="B1650" i="1"/>
  <c r="C1651" i="1"/>
  <c r="B1651" i="1"/>
  <c r="C1652" i="1"/>
  <c r="B1652" i="1"/>
  <c r="C1653" i="1"/>
  <c r="B1653" i="1"/>
  <c r="C1654" i="1"/>
  <c r="B1654" i="1"/>
  <c r="C1655" i="1"/>
  <c r="B1655" i="1"/>
  <c r="C1656" i="1"/>
  <c r="B1656" i="1"/>
  <c r="C1657" i="1"/>
  <c r="B1657" i="1"/>
  <c r="C1658" i="1"/>
  <c r="B1658" i="1"/>
  <c r="C1659" i="1"/>
  <c r="B1659" i="1"/>
  <c r="C1660" i="1"/>
  <c r="B1660" i="1"/>
  <c r="C1661" i="1"/>
  <c r="B1661" i="1"/>
  <c r="C1662" i="1"/>
  <c r="B1662" i="1"/>
  <c r="C1663" i="1"/>
  <c r="B1663" i="1"/>
  <c r="C1664" i="1"/>
  <c r="B1664" i="1"/>
  <c r="C1665" i="1"/>
  <c r="B1665" i="1"/>
  <c r="C1666" i="1"/>
  <c r="B1666" i="1"/>
  <c r="C1667" i="1"/>
  <c r="B1667" i="1"/>
  <c r="C1668" i="1"/>
  <c r="B1668" i="1"/>
  <c r="C1669" i="1"/>
  <c r="B1669" i="1"/>
  <c r="C1670" i="1"/>
  <c r="B1670" i="1"/>
  <c r="C1671" i="1"/>
  <c r="B1671" i="1"/>
  <c r="C1672" i="1"/>
  <c r="B1672" i="1"/>
  <c r="C1673" i="1"/>
  <c r="B1673" i="1"/>
  <c r="C1674" i="1"/>
  <c r="B1674" i="1"/>
  <c r="C1675" i="1"/>
  <c r="B1675" i="1"/>
  <c r="C1676" i="1"/>
  <c r="B1676" i="1"/>
  <c r="C1677" i="1"/>
  <c r="B1677" i="1"/>
  <c r="C1678" i="1"/>
  <c r="B1678" i="1"/>
  <c r="C1679" i="1"/>
  <c r="B1679" i="1"/>
  <c r="C1680" i="1"/>
  <c r="B1680" i="1"/>
  <c r="C1681" i="1"/>
  <c r="B1681" i="1"/>
  <c r="C1682" i="1"/>
  <c r="B1682" i="1"/>
  <c r="C1683" i="1"/>
  <c r="B1683" i="1"/>
  <c r="C1684" i="1"/>
  <c r="B1684" i="1"/>
  <c r="C1685" i="1"/>
  <c r="B1685" i="1"/>
  <c r="C1686" i="1"/>
  <c r="B1686" i="1"/>
  <c r="C1687" i="1"/>
  <c r="B1687" i="1"/>
  <c r="C1688" i="1"/>
  <c r="B1688" i="1"/>
  <c r="C1689" i="1"/>
  <c r="B1689" i="1"/>
  <c r="C1690" i="1"/>
  <c r="B1690" i="1"/>
  <c r="C1691" i="1"/>
  <c r="B1691" i="1"/>
  <c r="C1692" i="1"/>
  <c r="B1692" i="1"/>
  <c r="C1693" i="1"/>
  <c r="B1693" i="1"/>
  <c r="C1694" i="1"/>
  <c r="B1694" i="1"/>
  <c r="C1695" i="1"/>
  <c r="B1695" i="1"/>
  <c r="C1696" i="1"/>
  <c r="B1696" i="1"/>
  <c r="C1697" i="1"/>
  <c r="B1697" i="1"/>
  <c r="C1698" i="1"/>
  <c r="B1698" i="1"/>
  <c r="C1699" i="1"/>
  <c r="B1699" i="1"/>
  <c r="C1700" i="1"/>
  <c r="B1700" i="1"/>
  <c r="C1701" i="1"/>
  <c r="B1701" i="1"/>
  <c r="C1702" i="1"/>
  <c r="B1702" i="1"/>
  <c r="C1703" i="1"/>
  <c r="B1703" i="1"/>
  <c r="C1704" i="1"/>
  <c r="B1704" i="1"/>
  <c r="C1705" i="1"/>
  <c r="B1705" i="1"/>
  <c r="C1706" i="1"/>
  <c r="B1706" i="1"/>
  <c r="C1707" i="1"/>
  <c r="B1707" i="1"/>
  <c r="C1708" i="1"/>
  <c r="B1708" i="1"/>
  <c r="C1709" i="1"/>
  <c r="B1709" i="1"/>
  <c r="C1710" i="1"/>
  <c r="B1710" i="1"/>
  <c r="C1711" i="1"/>
  <c r="B1711" i="1"/>
  <c r="C1712" i="1"/>
  <c r="B1712" i="1"/>
  <c r="C1713" i="1"/>
  <c r="B1713" i="1"/>
  <c r="C1714" i="1"/>
  <c r="B1714" i="1"/>
  <c r="C1715" i="1"/>
  <c r="B1715" i="1"/>
  <c r="C1716" i="1"/>
  <c r="B1716" i="1"/>
  <c r="C1717" i="1"/>
  <c r="B1717" i="1"/>
  <c r="C1718" i="1"/>
  <c r="B1718" i="1"/>
  <c r="C1719" i="1"/>
  <c r="B1719" i="1"/>
  <c r="C1720" i="1"/>
  <c r="B1720" i="1"/>
  <c r="C1721" i="1"/>
  <c r="B1721" i="1"/>
  <c r="C1722" i="1"/>
  <c r="B1722" i="1"/>
  <c r="C1723" i="1"/>
  <c r="B1723" i="1"/>
  <c r="C1724" i="1"/>
  <c r="B1724" i="1"/>
  <c r="C1725" i="1"/>
  <c r="B1725" i="1"/>
  <c r="C1726" i="1"/>
  <c r="B1726" i="1"/>
  <c r="C1727" i="1"/>
  <c r="B1727" i="1"/>
  <c r="C1728" i="1"/>
  <c r="B1728" i="1"/>
  <c r="C1729" i="1"/>
  <c r="B1729" i="1"/>
  <c r="C1730" i="1"/>
  <c r="B1730" i="1"/>
  <c r="C1731" i="1"/>
  <c r="B1731" i="1"/>
  <c r="C1732" i="1"/>
  <c r="B1732" i="1"/>
  <c r="C1733" i="1"/>
  <c r="B1733" i="1"/>
  <c r="C1734" i="1"/>
  <c r="B1734" i="1"/>
  <c r="C1735" i="1"/>
  <c r="B1735" i="1"/>
  <c r="C1736" i="1"/>
  <c r="B1736" i="1"/>
  <c r="C1737" i="1"/>
  <c r="B1737" i="1"/>
  <c r="C1738" i="1"/>
  <c r="B1738" i="1"/>
  <c r="C1739" i="1"/>
  <c r="B1739" i="1"/>
  <c r="C1740" i="1"/>
  <c r="B1740" i="1"/>
  <c r="C1741" i="1"/>
  <c r="B1741" i="1"/>
  <c r="C1742" i="1"/>
  <c r="B1742" i="1"/>
  <c r="C1743" i="1"/>
  <c r="B1743" i="1"/>
  <c r="C1744" i="1"/>
  <c r="B1744" i="1"/>
  <c r="C1745" i="1"/>
  <c r="B1745" i="1"/>
  <c r="C1746" i="1"/>
  <c r="B1746" i="1"/>
  <c r="C1747" i="1"/>
  <c r="B1747" i="1"/>
  <c r="C1748" i="1"/>
  <c r="B1748" i="1"/>
  <c r="C1749" i="1"/>
  <c r="B1749" i="1"/>
  <c r="C1750" i="1"/>
  <c r="B1750" i="1"/>
  <c r="C1751" i="1"/>
  <c r="B1751" i="1"/>
  <c r="C1752" i="1"/>
  <c r="B1752" i="1"/>
  <c r="C1753" i="1"/>
  <c r="B1753" i="1"/>
  <c r="C1754" i="1"/>
  <c r="B1754" i="1"/>
  <c r="C1755" i="1"/>
  <c r="B1755" i="1"/>
  <c r="C1756" i="1"/>
  <c r="B1756" i="1"/>
  <c r="C1757" i="1"/>
  <c r="B1757" i="1"/>
  <c r="C1758" i="1"/>
  <c r="B1758" i="1"/>
  <c r="C1759" i="1"/>
  <c r="B1759" i="1"/>
  <c r="C1760" i="1"/>
  <c r="B1760" i="1"/>
  <c r="C1761" i="1"/>
  <c r="B1761" i="1"/>
  <c r="C1762" i="1"/>
  <c r="B1762" i="1"/>
  <c r="C1763" i="1"/>
  <c r="B1763" i="1"/>
  <c r="C1764" i="1"/>
  <c r="B1764" i="1"/>
  <c r="C1765" i="1"/>
  <c r="B1765" i="1"/>
  <c r="C1766" i="1"/>
  <c r="B1766" i="1"/>
  <c r="C1767" i="1"/>
  <c r="B1767" i="1"/>
  <c r="C1768" i="1"/>
  <c r="B1768" i="1"/>
  <c r="C1769" i="1"/>
  <c r="B1769" i="1"/>
  <c r="C1770" i="1"/>
  <c r="B1770" i="1"/>
  <c r="C1771" i="1"/>
  <c r="B1771" i="1"/>
  <c r="C1772" i="1"/>
  <c r="B1772" i="1"/>
  <c r="C1773" i="1"/>
  <c r="B1773" i="1"/>
  <c r="C1774" i="1"/>
  <c r="B1774" i="1"/>
  <c r="C1775" i="1"/>
  <c r="B1775" i="1"/>
  <c r="C1776" i="1"/>
  <c r="B1776" i="1"/>
  <c r="C1777" i="1"/>
  <c r="B1777" i="1"/>
  <c r="C1778" i="1"/>
  <c r="B1778" i="1"/>
  <c r="C1779" i="1"/>
  <c r="B1779" i="1"/>
  <c r="C1780" i="1"/>
  <c r="B1780" i="1"/>
  <c r="C1781" i="1"/>
  <c r="B1781" i="1"/>
  <c r="C1782" i="1"/>
  <c r="B1782" i="1"/>
  <c r="C1783" i="1"/>
  <c r="B1783" i="1"/>
  <c r="C1784" i="1"/>
  <c r="B1784" i="1"/>
  <c r="C1785" i="1"/>
  <c r="B1785" i="1"/>
  <c r="C1786" i="1"/>
  <c r="B1786" i="1"/>
  <c r="C1787" i="1"/>
  <c r="B1787" i="1"/>
  <c r="C1788" i="1"/>
  <c r="B1788" i="1"/>
  <c r="C1789" i="1"/>
  <c r="B1789" i="1"/>
  <c r="C1790" i="1"/>
  <c r="B1790" i="1"/>
  <c r="C1791" i="1"/>
  <c r="B1791" i="1"/>
  <c r="C1792" i="1"/>
  <c r="B1792" i="1"/>
  <c r="C1793" i="1"/>
  <c r="B1793" i="1"/>
  <c r="C1794" i="1"/>
  <c r="B1794" i="1"/>
  <c r="C1795" i="1"/>
  <c r="B1795" i="1"/>
  <c r="C1796" i="1"/>
  <c r="B1796" i="1"/>
  <c r="C1797" i="1"/>
  <c r="B1797" i="1"/>
  <c r="C1798" i="1"/>
  <c r="B1798" i="1"/>
  <c r="C1799" i="1"/>
  <c r="B1799" i="1"/>
  <c r="C1800" i="1"/>
  <c r="B1800" i="1"/>
  <c r="C1801" i="1"/>
  <c r="B1801" i="1"/>
  <c r="C1802" i="1"/>
  <c r="B1802" i="1"/>
  <c r="C1803" i="1"/>
  <c r="B1803" i="1"/>
  <c r="C1804" i="1"/>
  <c r="B1804" i="1"/>
  <c r="C1805" i="1"/>
  <c r="B1805" i="1"/>
  <c r="C1806" i="1"/>
  <c r="B1806" i="1"/>
  <c r="C1807" i="1"/>
  <c r="B1807" i="1"/>
  <c r="C1808" i="1"/>
  <c r="B1808" i="1"/>
  <c r="C1809" i="1"/>
  <c r="B1809" i="1"/>
  <c r="C1810" i="1"/>
  <c r="B1810" i="1"/>
  <c r="C1811" i="1"/>
  <c r="B1811" i="1"/>
  <c r="C1812" i="1"/>
  <c r="B1812" i="1"/>
  <c r="C1813" i="1"/>
  <c r="B1813" i="1"/>
  <c r="C1814" i="1"/>
  <c r="B1814" i="1"/>
  <c r="C1815" i="1"/>
  <c r="B1815" i="1"/>
  <c r="C1816" i="1"/>
  <c r="B1816" i="1"/>
  <c r="C1817" i="1"/>
  <c r="B1817" i="1"/>
  <c r="C1818" i="1"/>
  <c r="B1818" i="1"/>
  <c r="C1819" i="1"/>
  <c r="B1819" i="1"/>
  <c r="C1820" i="1"/>
  <c r="B1820" i="1"/>
  <c r="C1821" i="1"/>
  <c r="B1821" i="1"/>
  <c r="C1822" i="1"/>
  <c r="B1822" i="1"/>
  <c r="C1823" i="1"/>
  <c r="B1823" i="1"/>
  <c r="C1824" i="1"/>
  <c r="B1824" i="1"/>
  <c r="C1825" i="1"/>
  <c r="B1825" i="1"/>
  <c r="C1826" i="1"/>
  <c r="B1826" i="1"/>
  <c r="C1827" i="1"/>
  <c r="B1827" i="1"/>
  <c r="C1828" i="1"/>
  <c r="B1828" i="1"/>
  <c r="C1829" i="1"/>
  <c r="B1829" i="1"/>
  <c r="C1830" i="1"/>
  <c r="B1830" i="1"/>
  <c r="C1831" i="1"/>
  <c r="B1831" i="1"/>
  <c r="C1832" i="1"/>
  <c r="B1832" i="1"/>
  <c r="C1833" i="1"/>
  <c r="C1834" i="1"/>
  <c r="B1834" i="1"/>
  <c r="C1835" i="1"/>
  <c r="B1835" i="1"/>
  <c r="C1836" i="1"/>
  <c r="B1836" i="1"/>
  <c r="C1837" i="1"/>
  <c r="B1837" i="1"/>
  <c r="C1838" i="1"/>
  <c r="B1838" i="1"/>
  <c r="C1839" i="1"/>
  <c r="B1839" i="1"/>
  <c r="C1840" i="1"/>
  <c r="B1840" i="1"/>
  <c r="C1841" i="1"/>
  <c r="B1841" i="1"/>
  <c r="C1842" i="1"/>
  <c r="B1842" i="1"/>
  <c r="C1843" i="1"/>
  <c r="B1843" i="1"/>
  <c r="C1844" i="1"/>
  <c r="B1844" i="1"/>
  <c r="C1845" i="1"/>
  <c r="B1845" i="1"/>
  <c r="C1846" i="1"/>
  <c r="B1846" i="1"/>
  <c r="C1847" i="1"/>
  <c r="B1847" i="1"/>
  <c r="C1848" i="1"/>
  <c r="B1848" i="1"/>
  <c r="C1849" i="1"/>
  <c r="B1849" i="1"/>
  <c r="C1850" i="1"/>
  <c r="B1850" i="1"/>
  <c r="C1851" i="1"/>
  <c r="B1851" i="1"/>
  <c r="C1852" i="1"/>
  <c r="B1852" i="1"/>
  <c r="C1853" i="1"/>
  <c r="B1853" i="1"/>
  <c r="C1854" i="1"/>
  <c r="B1854" i="1"/>
  <c r="C1855" i="1"/>
  <c r="B1855" i="1"/>
  <c r="C1856" i="1"/>
  <c r="B1856" i="1"/>
  <c r="C1857" i="1"/>
  <c r="B1857" i="1"/>
  <c r="C1858" i="1"/>
  <c r="B1858" i="1"/>
  <c r="C1859" i="1"/>
  <c r="B1859" i="1"/>
  <c r="C1860" i="1"/>
  <c r="B1860" i="1"/>
  <c r="C1861" i="1"/>
  <c r="B1861" i="1"/>
  <c r="C1862" i="1"/>
  <c r="B1862" i="1"/>
  <c r="C1863" i="1"/>
  <c r="B1863" i="1"/>
  <c r="C1864" i="1"/>
  <c r="B1864" i="1"/>
  <c r="C1865" i="1"/>
  <c r="B1865" i="1"/>
  <c r="C1866" i="1"/>
  <c r="B1866" i="1"/>
  <c r="C1867" i="1"/>
  <c r="B1867" i="1"/>
  <c r="C1868" i="1"/>
  <c r="B1868" i="1"/>
  <c r="C1869" i="1"/>
  <c r="B1869" i="1"/>
  <c r="C1870" i="1"/>
  <c r="B1870" i="1"/>
  <c r="C1871" i="1"/>
  <c r="B1871" i="1"/>
  <c r="C1872" i="1"/>
  <c r="B1872" i="1"/>
  <c r="C1873" i="1"/>
  <c r="B1873" i="1"/>
  <c r="C1874" i="1"/>
  <c r="B1874" i="1"/>
  <c r="C1875" i="1"/>
  <c r="B1875" i="1"/>
  <c r="C1876" i="1"/>
  <c r="B1876" i="1"/>
  <c r="C1877" i="1"/>
  <c r="B1877" i="1"/>
  <c r="C1878" i="1"/>
  <c r="B1878" i="1"/>
  <c r="C1879" i="1"/>
  <c r="B1879" i="1"/>
  <c r="C1880" i="1"/>
  <c r="B1880" i="1"/>
  <c r="C1881" i="1"/>
  <c r="B1881" i="1"/>
  <c r="C1882" i="1"/>
  <c r="B1882" i="1"/>
  <c r="C1883" i="1"/>
  <c r="B1883" i="1"/>
  <c r="C1884" i="1"/>
  <c r="B1884" i="1"/>
  <c r="C1885" i="1"/>
  <c r="B1885" i="1"/>
  <c r="C1886" i="1"/>
  <c r="B1886" i="1"/>
  <c r="C1887" i="1"/>
  <c r="B1887" i="1"/>
  <c r="C1888" i="1"/>
  <c r="B1888" i="1"/>
  <c r="C1889" i="1"/>
  <c r="B1889" i="1"/>
  <c r="C1890" i="1"/>
  <c r="B1890" i="1"/>
  <c r="C1891" i="1"/>
  <c r="B1891" i="1"/>
  <c r="C1892" i="1"/>
  <c r="B1892" i="1"/>
  <c r="C1893" i="1"/>
  <c r="B1893" i="1"/>
  <c r="C1894" i="1"/>
  <c r="B1894" i="1"/>
  <c r="C1895" i="1"/>
  <c r="B1895" i="1"/>
  <c r="C1896" i="1"/>
  <c r="B1896" i="1"/>
  <c r="C1897" i="1"/>
  <c r="B1897" i="1"/>
  <c r="C1898" i="1"/>
  <c r="B1898" i="1"/>
  <c r="C1899" i="1"/>
  <c r="B1899" i="1"/>
  <c r="C1900" i="1"/>
  <c r="B1900" i="1"/>
  <c r="C1901" i="1"/>
  <c r="B1901" i="1"/>
  <c r="C1902" i="1"/>
  <c r="B1902" i="1"/>
  <c r="C1903" i="1"/>
  <c r="B1903" i="1"/>
  <c r="C1904" i="1"/>
  <c r="B1904" i="1"/>
  <c r="C1905" i="1"/>
  <c r="B1905" i="1"/>
  <c r="C1906" i="1"/>
  <c r="B1906" i="1"/>
  <c r="C1907" i="1"/>
  <c r="B1907" i="1"/>
  <c r="C1908" i="1"/>
  <c r="B1908" i="1"/>
  <c r="C1909" i="1"/>
  <c r="B1909" i="1"/>
  <c r="C1910" i="1"/>
  <c r="B1910" i="1"/>
  <c r="C1911" i="1"/>
  <c r="B1911" i="1"/>
  <c r="C1912" i="1"/>
  <c r="B1912" i="1"/>
  <c r="C1913" i="1"/>
  <c r="B1913" i="1"/>
  <c r="C1914" i="1"/>
  <c r="B1914" i="1"/>
  <c r="C1915" i="1"/>
  <c r="B1915" i="1"/>
  <c r="C1916" i="1"/>
  <c r="B1916" i="1"/>
  <c r="C1917" i="1"/>
  <c r="B1917" i="1"/>
  <c r="C1918" i="1"/>
  <c r="B1918" i="1"/>
  <c r="C1919" i="1"/>
  <c r="B1919" i="1"/>
  <c r="C1920" i="1"/>
  <c r="B1920" i="1"/>
  <c r="C1921" i="1"/>
  <c r="B1921" i="1"/>
  <c r="C1922" i="1"/>
  <c r="B1922" i="1"/>
  <c r="C1923" i="1"/>
  <c r="B1923" i="1"/>
  <c r="C1924" i="1"/>
  <c r="B1924" i="1"/>
  <c r="C1925" i="1"/>
  <c r="B1925" i="1"/>
  <c r="C1926" i="1"/>
  <c r="B1926" i="1"/>
  <c r="C1927" i="1"/>
  <c r="B1927" i="1"/>
  <c r="C1928" i="1"/>
  <c r="B1928" i="1"/>
  <c r="C1929" i="1"/>
  <c r="B1929" i="1"/>
  <c r="C1930" i="1"/>
  <c r="B1930" i="1"/>
  <c r="C1931" i="1"/>
  <c r="B1931" i="1"/>
  <c r="C1932" i="1"/>
  <c r="B1932" i="1"/>
  <c r="C1933" i="1"/>
  <c r="B1933" i="1"/>
  <c r="C1934" i="1"/>
  <c r="B1934" i="1"/>
  <c r="C1935" i="1"/>
  <c r="B1935" i="1"/>
  <c r="C1936" i="1"/>
  <c r="B1936" i="1"/>
  <c r="C1937" i="1"/>
  <c r="B1937" i="1"/>
  <c r="C1938" i="1"/>
  <c r="B1938" i="1"/>
  <c r="C1939" i="1"/>
  <c r="B1939" i="1"/>
  <c r="C1940" i="1"/>
  <c r="B1940" i="1"/>
  <c r="C1941" i="1"/>
  <c r="B1941" i="1"/>
  <c r="C1942" i="1"/>
  <c r="B1942" i="1"/>
  <c r="C1943" i="1"/>
  <c r="B1943" i="1"/>
  <c r="C1944" i="1"/>
  <c r="B1944" i="1"/>
  <c r="C1945" i="1"/>
  <c r="B1945" i="1"/>
  <c r="C1946" i="1"/>
  <c r="B1946" i="1"/>
  <c r="C1947" i="1"/>
  <c r="B1947" i="1"/>
  <c r="C1948" i="1"/>
  <c r="B1948" i="1"/>
  <c r="C1949" i="1"/>
  <c r="B1949" i="1"/>
  <c r="C1950" i="1"/>
  <c r="B1950" i="1"/>
  <c r="C1951" i="1"/>
  <c r="B1951" i="1"/>
  <c r="C1952" i="1"/>
  <c r="B1952" i="1"/>
  <c r="C1953" i="1"/>
  <c r="B1953" i="1"/>
  <c r="C1954" i="1"/>
  <c r="B1954" i="1"/>
  <c r="C1955" i="1"/>
  <c r="B1955" i="1"/>
  <c r="C1956" i="1"/>
  <c r="B1956" i="1"/>
  <c r="C1957" i="1"/>
  <c r="B1957" i="1"/>
  <c r="C1958" i="1"/>
  <c r="B1958" i="1"/>
  <c r="C1959" i="1"/>
  <c r="B1959" i="1"/>
  <c r="C1960" i="1"/>
  <c r="B1960" i="1"/>
  <c r="C1961" i="1"/>
  <c r="B1961" i="1"/>
  <c r="C1962" i="1"/>
  <c r="B1962" i="1"/>
  <c r="C1963" i="1"/>
  <c r="B1963" i="1"/>
  <c r="C1964" i="1"/>
  <c r="B1964" i="1"/>
  <c r="C1965" i="1"/>
  <c r="B1965" i="1"/>
  <c r="C1966" i="1"/>
  <c r="B1966" i="1"/>
  <c r="C1967" i="1"/>
  <c r="B1967" i="1"/>
  <c r="C1968" i="1"/>
  <c r="B1968" i="1"/>
  <c r="C1969" i="1"/>
  <c r="B1969" i="1"/>
  <c r="C1970" i="1"/>
  <c r="B1970" i="1"/>
  <c r="C1971" i="1"/>
  <c r="B1971" i="1"/>
  <c r="C1972" i="1"/>
  <c r="B1972" i="1"/>
  <c r="C1973" i="1"/>
  <c r="B1973" i="1"/>
  <c r="C1974" i="1"/>
  <c r="B1974" i="1"/>
  <c r="C1975" i="1"/>
  <c r="B1975" i="1"/>
  <c r="C1976" i="1"/>
  <c r="B1976" i="1"/>
  <c r="C1977" i="1"/>
  <c r="B1977" i="1"/>
  <c r="C1978" i="1"/>
  <c r="B1978" i="1"/>
  <c r="C1979" i="1"/>
  <c r="B1979" i="1"/>
  <c r="C1980" i="1"/>
  <c r="B1980" i="1"/>
  <c r="C1981" i="1"/>
  <c r="B1981" i="1"/>
  <c r="C1982" i="1"/>
  <c r="B1982" i="1"/>
  <c r="C1983" i="1"/>
  <c r="B1983" i="1"/>
  <c r="C1984" i="1"/>
  <c r="B1984" i="1"/>
  <c r="C1985" i="1"/>
  <c r="B1985" i="1"/>
  <c r="C1986" i="1"/>
  <c r="B1986" i="1"/>
  <c r="C1987" i="1"/>
  <c r="B1987" i="1"/>
  <c r="C1988" i="1"/>
  <c r="B1988" i="1"/>
  <c r="C1989" i="1"/>
  <c r="B1989" i="1"/>
  <c r="C1990" i="1"/>
  <c r="B1990" i="1"/>
  <c r="C1991" i="1"/>
  <c r="B1991" i="1"/>
  <c r="C1992" i="1"/>
  <c r="B1992" i="1"/>
  <c r="C1993" i="1"/>
  <c r="B1993" i="1"/>
  <c r="C1994" i="1"/>
  <c r="B1994" i="1"/>
  <c r="C1995" i="1"/>
  <c r="B1995" i="1"/>
  <c r="C1996" i="1"/>
  <c r="B1996" i="1"/>
  <c r="C1997" i="1"/>
  <c r="B1997" i="1"/>
  <c r="C1998" i="1"/>
  <c r="B1998" i="1"/>
  <c r="C1999" i="1"/>
  <c r="B1999" i="1"/>
  <c r="C2000" i="1"/>
  <c r="B2000" i="1"/>
  <c r="C2001" i="1"/>
  <c r="B2001" i="1"/>
  <c r="C2002" i="1"/>
  <c r="B2002" i="1"/>
  <c r="C2003" i="1"/>
  <c r="B2003" i="1"/>
  <c r="C2004" i="1"/>
  <c r="B2004" i="1"/>
  <c r="C2005" i="1"/>
  <c r="B2005" i="1"/>
  <c r="C2006" i="1"/>
  <c r="B2006" i="1"/>
  <c r="C2007" i="1"/>
  <c r="B2007" i="1"/>
  <c r="C2008" i="1"/>
  <c r="B2008" i="1"/>
  <c r="C2009" i="1"/>
  <c r="B2009" i="1"/>
  <c r="C2010" i="1"/>
  <c r="B2010" i="1"/>
  <c r="C2011" i="1"/>
  <c r="B2011" i="1"/>
  <c r="C2012" i="1"/>
  <c r="B2012" i="1"/>
  <c r="C2013" i="1"/>
  <c r="B2013" i="1"/>
  <c r="C2014" i="1"/>
  <c r="B2014" i="1"/>
  <c r="C2015" i="1"/>
  <c r="B2015" i="1"/>
  <c r="C2016" i="1"/>
  <c r="B2016" i="1"/>
  <c r="C2017" i="1"/>
  <c r="B2017" i="1"/>
  <c r="C2018" i="1"/>
  <c r="B2018" i="1"/>
  <c r="C2019" i="1"/>
  <c r="B2019" i="1"/>
  <c r="C2020" i="1"/>
  <c r="B2020" i="1"/>
  <c r="C2021" i="1"/>
  <c r="B2021" i="1"/>
  <c r="C2022" i="1"/>
  <c r="B2022" i="1"/>
  <c r="C2023" i="1"/>
  <c r="B2023" i="1"/>
  <c r="C2024" i="1"/>
  <c r="B2024" i="1"/>
  <c r="C2025" i="1"/>
  <c r="B2025" i="1"/>
  <c r="C2026" i="1"/>
  <c r="B2026" i="1"/>
  <c r="C2027" i="1"/>
  <c r="B2027" i="1"/>
  <c r="C2028" i="1"/>
  <c r="B2028" i="1"/>
  <c r="C2029" i="1"/>
  <c r="B2029" i="1"/>
  <c r="C2030" i="1"/>
  <c r="B2030" i="1"/>
  <c r="C2031" i="1"/>
  <c r="B2031" i="1"/>
  <c r="C2032" i="1"/>
  <c r="B2032" i="1"/>
  <c r="C2033" i="1"/>
  <c r="B2033" i="1"/>
  <c r="C2034" i="1"/>
  <c r="B2034" i="1"/>
  <c r="C2035" i="1"/>
  <c r="B2035" i="1"/>
  <c r="C2036" i="1"/>
  <c r="B2036" i="1"/>
  <c r="C2037" i="1"/>
  <c r="B2037" i="1"/>
  <c r="C2038" i="1"/>
  <c r="B2038" i="1"/>
  <c r="C2039" i="1"/>
  <c r="B2039" i="1"/>
  <c r="C2040" i="1"/>
  <c r="B2040" i="1"/>
  <c r="C2041" i="1"/>
  <c r="B2041" i="1"/>
  <c r="C2042" i="1"/>
  <c r="B2042" i="1"/>
  <c r="C2043" i="1"/>
  <c r="B2043" i="1"/>
  <c r="C2044" i="1"/>
  <c r="B2044" i="1"/>
  <c r="C2045" i="1"/>
  <c r="B2045" i="1"/>
  <c r="C2046" i="1"/>
  <c r="B2046" i="1"/>
  <c r="C2047" i="1"/>
  <c r="B2047" i="1"/>
  <c r="C2048" i="1"/>
  <c r="B2048" i="1"/>
  <c r="C2049" i="1"/>
  <c r="B2049" i="1"/>
  <c r="C2050" i="1"/>
  <c r="B2050" i="1"/>
  <c r="C2051" i="1"/>
  <c r="B2051" i="1"/>
  <c r="C2052" i="1"/>
  <c r="B2052" i="1"/>
  <c r="C2053" i="1"/>
  <c r="B2053" i="1"/>
  <c r="C2054" i="1"/>
  <c r="B2054" i="1"/>
  <c r="C2055" i="1"/>
  <c r="B2055" i="1"/>
  <c r="C2056" i="1"/>
  <c r="B2056" i="1"/>
  <c r="C2057" i="1"/>
  <c r="B2057" i="1"/>
  <c r="C2058" i="1"/>
  <c r="B2058" i="1"/>
  <c r="C2059" i="1"/>
  <c r="B2059" i="1"/>
  <c r="C2060" i="1"/>
  <c r="B2060" i="1"/>
  <c r="C2061" i="1"/>
  <c r="B2061" i="1"/>
  <c r="C2062" i="1"/>
  <c r="B2062" i="1"/>
  <c r="C2063" i="1"/>
  <c r="B2063" i="1"/>
  <c r="C2064" i="1"/>
  <c r="B2064" i="1"/>
  <c r="C2065" i="1"/>
  <c r="B2065" i="1"/>
  <c r="C2066" i="1"/>
  <c r="B2066" i="1"/>
  <c r="C2067" i="1"/>
  <c r="B2067" i="1"/>
  <c r="C2068" i="1"/>
  <c r="B2068" i="1"/>
  <c r="C2069" i="1"/>
  <c r="B2069" i="1"/>
  <c r="C2070" i="1"/>
  <c r="B2070" i="1"/>
  <c r="C2071" i="1"/>
  <c r="B2071" i="1"/>
  <c r="C2072" i="1"/>
  <c r="B2072" i="1"/>
  <c r="C2073" i="1"/>
  <c r="B2073" i="1"/>
  <c r="C2074" i="1"/>
  <c r="B2074" i="1"/>
  <c r="C2075" i="1"/>
  <c r="B2075" i="1"/>
  <c r="C2076" i="1"/>
  <c r="B2076" i="1"/>
  <c r="C2077" i="1"/>
  <c r="B2077" i="1"/>
  <c r="C2078" i="1"/>
  <c r="B2078" i="1"/>
  <c r="C2079" i="1"/>
  <c r="B2079" i="1"/>
  <c r="C2080" i="1"/>
  <c r="B2080" i="1"/>
  <c r="C2081" i="1"/>
  <c r="B2081" i="1"/>
  <c r="C2082" i="1"/>
  <c r="B2082" i="1"/>
  <c r="C2083" i="1"/>
  <c r="B2083" i="1"/>
  <c r="C2084" i="1"/>
  <c r="B2084" i="1"/>
  <c r="C2085" i="1"/>
  <c r="B2085" i="1"/>
  <c r="C2086" i="1"/>
  <c r="B2086" i="1"/>
  <c r="C2087" i="1"/>
  <c r="B2087" i="1"/>
  <c r="C2088" i="1"/>
  <c r="B2088" i="1"/>
  <c r="C2089" i="1"/>
  <c r="B2089" i="1"/>
  <c r="C2090" i="1"/>
  <c r="B2090" i="1"/>
  <c r="C2091" i="1"/>
  <c r="B2091" i="1"/>
  <c r="C2092" i="1"/>
  <c r="B2092" i="1"/>
  <c r="C2093" i="1"/>
  <c r="B2093" i="1"/>
  <c r="C2094" i="1"/>
  <c r="B2094" i="1"/>
  <c r="C2095" i="1"/>
  <c r="B2095" i="1"/>
  <c r="C2096" i="1"/>
  <c r="B2096" i="1"/>
  <c r="C2097" i="1"/>
  <c r="B2097" i="1"/>
  <c r="C2098" i="1"/>
  <c r="B2098" i="1"/>
  <c r="C2099" i="1"/>
  <c r="B2099" i="1"/>
  <c r="C2100" i="1"/>
  <c r="B2100" i="1"/>
  <c r="C2101" i="1"/>
  <c r="B2101" i="1"/>
  <c r="C2102" i="1"/>
  <c r="B2102" i="1"/>
  <c r="C2103" i="1"/>
  <c r="B2103" i="1"/>
  <c r="C2104" i="1"/>
  <c r="B2104" i="1"/>
  <c r="C2105" i="1"/>
  <c r="B2105" i="1"/>
  <c r="C2106" i="1"/>
  <c r="B2106" i="1"/>
  <c r="C2107" i="1"/>
  <c r="B2107" i="1"/>
  <c r="C2108" i="1"/>
  <c r="B2108" i="1"/>
  <c r="C2109" i="1"/>
  <c r="B2109" i="1"/>
  <c r="C2110" i="1"/>
  <c r="B2110" i="1"/>
  <c r="C2111" i="1"/>
  <c r="B2111" i="1"/>
  <c r="C2112" i="1"/>
  <c r="B2112" i="1"/>
  <c r="C2113" i="1"/>
  <c r="B2113" i="1"/>
  <c r="C2114" i="1"/>
  <c r="B2114" i="1"/>
  <c r="C2115" i="1"/>
  <c r="B2115" i="1"/>
  <c r="C2116" i="1"/>
  <c r="B2116" i="1"/>
  <c r="C2117" i="1"/>
  <c r="B2117" i="1"/>
  <c r="C2118" i="1"/>
  <c r="B2118" i="1"/>
  <c r="C2119" i="1"/>
  <c r="B2119" i="1"/>
  <c r="C2120" i="1"/>
  <c r="B2120" i="1"/>
  <c r="C2121" i="1"/>
  <c r="B2121" i="1"/>
  <c r="C2122" i="1"/>
  <c r="B2122" i="1"/>
  <c r="C2123" i="1"/>
  <c r="B2123" i="1"/>
  <c r="C2124" i="1"/>
  <c r="B2124" i="1"/>
  <c r="C2125" i="1"/>
  <c r="B2125" i="1"/>
  <c r="C2126" i="1"/>
  <c r="B2126" i="1"/>
  <c r="C2127" i="1"/>
  <c r="B2127" i="1"/>
  <c r="C2128" i="1"/>
  <c r="B2128" i="1"/>
  <c r="C2129" i="1"/>
  <c r="B2129" i="1"/>
  <c r="C2130" i="1"/>
  <c r="B2130" i="1"/>
  <c r="C2131" i="1"/>
  <c r="B2131" i="1"/>
  <c r="C2132" i="1"/>
  <c r="B2132" i="1"/>
  <c r="C2133" i="1"/>
  <c r="B2133" i="1"/>
  <c r="C2134" i="1"/>
  <c r="B2134" i="1"/>
  <c r="C2135" i="1"/>
  <c r="B2135" i="1"/>
  <c r="C2136" i="1"/>
  <c r="B2136" i="1"/>
  <c r="C2137" i="1"/>
  <c r="B2137" i="1"/>
  <c r="C2138" i="1"/>
  <c r="B2138" i="1"/>
  <c r="C2139" i="1"/>
  <c r="B2139" i="1"/>
  <c r="C2140" i="1"/>
  <c r="B2140" i="1"/>
  <c r="C2141" i="1"/>
  <c r="B2141" i="1"/>
  <c r="C2142" i="1"/>
  <c r="B2142" i="1"/>
  <c r="C2143" i="1"/>
  <c r="B2143" i="1"/>
  <c r="C2144" i="1"/>
  <c r="B2144" i="1"/>
  <c r="C2145" i="1"/>
  <c r="B2145" i="1"/>
  <c r="C2146" i="1"/>
  <c r="B2146" i="1"/>
  <c r="C2147" i="1"/>
  <c r="B2147" i="1"/>
  <c r="C2148" i="1"/>
  <c r="B2148" i="1"/>
  <c r="C2149" i="1"/>
  <c r="B2149" i="1"/>
  <c r="C2150" i="1"/>
  <c r="B2150" i="1"/>
  <c r="C2151" i="1"/>
  <c r="B2151" i="1"/>
  <c r="C2152" i="1"/>
  <c r="B2152" i="1"/>
  <c r="C2153" i="1"/>
  <c r="B2153" i="1"/>
  <c r="C2154" i="1"/>
  <c r="B2154" i="1"/>
  <c r="C2155" i="1"/>
  <c r="B2155" i="1"/>
  <c r="C2156" i="1"/>
  <c r="B2156" i="1"/>
  <c r="C2157" i="1"/>
  <c r="B2157" i="1"/>
  <c r="C2158" i="1"/>
  <c r="B2158" i="1"/>
  <c r="C2159" i="1"/>
  <c r="B2159" i="1"/>
  <c r="C2160" i="1"/>
  <c r="B2160" i="1"/>
  <c r="C2161" i="1"/>
  <c r="B2161" i="1"/>
  <c r="C2162" i="1"/>
  <c r="B2162" i="1"/>
  <c r="C2163" i="1"/>
  <c r="B2163" i="1"/>
  <c r="C2164" i="1"/>
  <c r="B2164" i="1"/>
  <c r="C2165" i="1"/>
  <c r="B2165" i="1"/>
  <c r="C2166" i="1"/>
  <c r="B2166" i="1"/>
  <c r="C2167" i="1"/>
  <c r="B2167" i="1"/>
  <c r="C2168" i="1"/>
  <c r="B2168" i="1"/>
  <c r="C2169" i="1"/>
  <c r="B2169" i="1"/>
  <c r="C2170" i="1"/>
  <c r="B2170" i="1"/>
  <c r="C2171" i="1"/>
  <c r="B2171" i="1"/>
  <c r="C2172" i="1"/>
  <c r="B2172" i="1"/>
  <c r="C2173" i="1"/>
  <c r="B2173" i="1"/>
  <c r="C2174" i="1"/>
  <c r="B2174" i="1"/>
  <c r="C2175" i="1"/>
  <c r="B2175" i="1"/>
  <c r="C2176" i="1"/>
  <c r="B2176" i="1"/>
  <c r="C2177" i="1"/>
  <c r="B2177" i="1"/>
  <c r="C2178" i="1"/>
  <c r="B2178" i="1"/>
  <c r="C2179" i="1"/>
  <c r="B2179" i="1"/>
  <c r="C2180" i="1"/>
  <c r="B2180" i="1"/>
  <c r="C2181" i="1"/>
  <c r="B2181" i="1"/>
  <c r="C2182" i="1"/>
  <c r="B2182" i="1"/>
  <c r="C2183" i="1"/>
  <c r="B2183" i="1"/>
  <c r="C2184" i="1"/>
  <c r="B2184" i="1"/>
  <c r="C2185" i="1"/>
  <c r="B2185" i="1"/>
  <c r="C2186" i="1"/>
  <c r="B2186" i="1"/>
  <c r="C2187" i="1"/>
  <c r="B2187" i="1"/>
  <c r="C2188" i="1"/>
  <c r="B2188" i="1"/>
  <c r="C2189" i="1"/>
  <c r="B2189" i="1"/>
  <c r="C2190" i="1"/>
  <c r="B2190" i="1"/>
  <c r="C2191" i="1"/>
  <c r="B2191" i="1"/>
  <c r="C2192" i="1"/>
  <c r="B2192" i="1"/>
  <c r="C2193" i="1"/>
  <c r="B2193" i="1"/>
  <c r="C2194" i="1"/>
  <c r="B2194" i="1"/>
  <c r="C2195" i="1"/>
  <c r="B2195" i="1"/>
  <c r="C2196" i="1"/>
  <c r="B2196" i="1"/>
  <c r="C2197" i="1"/>
  <c r="B2197" i="1"/>
  <c r="C2198" i="1"/>
  <c r="B2198" i="1"/>
  <c r="C2199" i="1"/>
  <c r="B2199" i="1"/>
  <c r="C2200" i="1"/>
  <c r="B2200" i="1"/>
  <c r="C2201" i="1"/>
  <c r="B2201" i="1"/>
  <c r="C2202" i="1"/>
  <c r="B2202" i="1"/>
  <c r="C2203" i="1"/>
  <c r="B2203" i="1"/>
  <c r="C2204" i="1"/>
  <c r="B2204" i="1"/>
  <c r="C2205" i="1"/>
  <c r="B2205" i="1"/>
  <c r="C2206" i="1"/>
  <c r="B2206" i="1"/>
  <c r="C2207" i="1"/>
  <c r="B2207" i="1"/>
  <c r="C2208" i="1"/>
  <c r="B2208" i="1"/>
  <c r="C2209" i="1"/>
  <c r="B2209" i="1"/>
  <c r="C2210" i="1"/>
  <c r="B2210" i="1"/>
  <c r="C2211" i="1"/>
  <c r="B2211" i="1"/>
  <c r="C2212" i="1"/>
  <c r="B2212" i="1"/>
  <c r="C2213" i="1"/>
  <c r="B2213" i="1"/>
  <c r="C2214" i="1"/>
  <c r="B2214" i="1"/>
  <c r="C2215" i="1"/>
  <c r="B2215" i="1"/>
  <c r="C2216" i="1"/>
  <c r="B2216" i="1"/>
  <c r="C2217" i="1"/>
  <c r="B2217" i="1"/>
  <c r="C2218" i="1"/>
  <c r="B2218" i="1"/>
  <c r="C2219" i="1"/>
  <c r="B2219" i="1"/>
  <c r="C2220" i="1"/>
  <c r="B2220" i="1"/>
  <c r="C2221" i="1"/>
  <c r="B2221" i="1"/>
  <c r="C2222" i="1"/>
  <c r="B2222" i="1"/>
  <c r="C2223" i="1"/>
  <c r="B2223" i="1"/>
  <c r="C2224" i="1"/>
  <c r="B2224" i="1"/>
  <c r="C2225" i="1"/>
  <c r="B2225" i="1"/>
  <c r="C2226" i="1"/>
  <c r="B2226" i="1"/>
  <c r="C2227" i="1"/>
  <c r="B2227" i="1"/>
  <c r="C2228" i="1"/>
  <c r="B2228" i="1"/>
  <c r="C2229" i="1"/>
  <c r="B2229" i="1"/>
  <c r="C2230" i="1"/>
  <c r="B2230" i="1"/>
  <c r="C2231" i="1"/>
  <c r="B2231" i="1"/>
  <c r="C2232" i="1"/>
  <c r="B2232" i="1"/>
  <c r="C2233" i="1"/>
  <c r="B2233" i="1"/>
  <c r="C2234" i="1"/>
  <c r="B2234" i="1"/>
  <c r="C2235" i="1"/>
  <c r="B2235" i="1"/>
  <c r="C2236" i="1"/>
  <c r="B2236" i="1"/>
  <c r="C2237" i="1"/>
  <c r="B2237" i="1"/>
  <c r="C2238" i="1"/>
  <c r="B2238" i="1"/>
  <c r="C2239" i="1"/>
  <c r="B2239" i="1"/>
  <c r="C2240" i="1"/>
  <c r="B2240" i="1"/>
  <c r="C2241" i="1"/>
  <c r="B2241" i="1"/>
  <c r="C2242" i="1"/>
  <c r="B2242" i="1"/>
  <c r="C2243" i="1"/>
  <c r="B2243" i="1"/>
  <c r="C2244" i="1"/>
  <c r="B2244" i="1"/>
  <c r="C2245" i="1"/>
  <c r="B2245" i="1"/>
  <c r="C2246" i="1"/>
  <c r="B2246" i="1"/>
  <c r="C2247" i="1"/>
  <c r="B2247" i="1"/>
  <c r="C2248" i="1"/>
  <c r="B2248" i="1"/>
  <c r="C2249" i="1"/>
  <c r="B2249" i="1"/>
  <c r="C2250" i="1"/>
  <c r="B2250" i="1"/>
  <c r="C2251" i="1"/>
  <c r="B2251" i="1"/>
  <c r="C2252" i="1"/>
  <c r="B2252" i="1"/>
  <c r="C2253" i="1"/>
  <c r="B2253" i="1"/>
  <c r="C2254" i="1"/>
  <c r="B2254" i="1"/>
  <c r="C2255" i="1"/>
  <c r="B2255" i="1"/>
  <c r="C2256" i="1"/>
  <c r="B2256" i="1"/>
  <c r="C2257" i="1"/>
  <c r="B2257" i="1"/>
  <c r="C2258" i="1"/>
  <c r="B2258" i="1"/>
  <c r="C2259" i="1"/>
  <c r="B2259" i="1"/>
  <c r="C2260" i="1"/>
  <c r="B2260" i="1"/>
  <c r="C2261" i="1"/>
  <c r="B2261" i="1"/>
  <c r="C2262" i="1"/>
  <c r="B2262" i="1"/>
  <c r="C2263" i="1"/>
  <c r="B2263" i="1"/>
  <c r="C2264" i="1"/>
  <c r="B2264" i="1"/>
  <c r="C2265" i="1"/>
  <c r="B2265" i="1"/>
  <c r="C2266" i="1"/>
  <c r="B2266" i="1"/>
  <c r="C2267" i="1"/>
  <c r="B2267" i="1"/>
  <c r="C2268" i="1"/>
  <c r="B2268" i="1"/>
  <c r="C2269" i="1"/>
  <c r="B2269" i="1"/>
  <c r="C2270" i="1"/>
  <c r="B2270" i="1"/>
  <c r="C2271" i="1"/>
  <c r="B2271" i="1"/>
  <c r="C2272" i="1"/>
  <c r="B2272" i="1"/>
  <c r="C2273" i="1"/>
  <c r="B2273" i="1"/>
  <c r="C2274" i="1"/>
  <c r="B2274" i="1"/>
  <c r="C2275" i="1"/>
  <c r="B2275" i="1"/>
  <c r="C2276" i="1"/>
  <c r="B2276" i="1"/>
  <c r="C2277" i="1"/>
  <c r="B2277" i="1"/>
  <c r="C2278" i="1"/>
  <c r="B2278" i="1"/>
  <c r="C2279" i="1"/>
  <c r="B2279" i="1"/>
  <c r="C2280" i="1"/>
  <c r="B2280" i="1"/>
  <c r="C2281" i="1"/>
  <c r="B2281" i="1"/>
  <c r="C2282" i="1"/>
  <c r="B2282" i="1"/>
  <c r="C2283" i="1"/>
  <c r="B2283" i="1"/>
  <c r="C2284" i="1"/>
  <c r="B2284" i="1"/>
  <c r="C2285" i="1"/>
  <c r="B2285" i="1"/>
  <c r="C2286" i="1"/>
  <c r="B2286" i="1"/>
  <c r="C2287" i="1"/>
  <c r="B2287" i="1"/>
  <c r="C2288" i="1"/>
  <c r="B2288" i="1"/>
  <c r="C2289" i="1"/>
  <c r="B2289" i="1"/>
  <c r="C2290" i="1"/>
  <c r="B2290" i="1"/>
  <c r="C2291" i="1"/>
  <c r="B2291" i="1"/>
  <c r="C2292" i="1"/>
  <c r="B2292" i="1"/>
  <c r="C2293" i="1"/>
  <c r="B2293" i="1"/>
  <c r="C2294" i="1"/>
  <c r="B2294" i="1"/>
  <c r="C2295" i="1"/>
  <c r="B2295" i="1"/>
  <c r="C2296" i="1"/>
  <c r="B2296" i="1"/>
  <c r="C2297" i="1"/>
  <c r="B2297" i="1"/>
  <c r="C2298" i="1"/>
  <c r="B2298" i="1"/>
  <c r="C2299" i="1"/>
  <c r="B2299" i="1"/>
  <c r="C2300" i="1"/>
  <c r="B2300" i="1"/>
  <c r="C2301" i="1"/>
  <c r="B2301" i="1"/>
  <c r="C2302" i="1"/>
  <c r="B2302" i="1"/>
  <c r="C2303" i="1"/>
  <c r="B2303" i="1"/>
  <c r="C2304" i="1"/>
  <c r="B2304" i="1"/>
  <c r="C2305" i="1"/>
  <c r="B2305" i="1"/>
  <c r="C2306" i="1"/>
  <c r="B2306" i="1"/>
  <c r="C2307" i="1"/>
  <c r="B2307" i="1"/>
  <c r="C2308" i="1"/>
  <c r="B2308" i="1"/>
  <c r="C2309" i="1"/>
  <c r="B2309" i="1"/>
  <c r="C2310" i="1"/>
  <c r="B2310" i="1"/>
  <c r="C2311" i="1"/>
  <c r="B2311" i="1"/>
  <c r="C2312" i="1"/>
  <c r="B2312" i="1"/>
  <c r="C2313" i="1"/>
  <c r="B2313" i="1"/>
  <c r="C2314" i="1"/>
  <c r="B2314" i="1"/>
  <c r="C2315" i="1"/>
  <c r="B2315" i="1"/>
  <c r="C2316" i="1"/>
  <c r="B2316" i="1"/>
  <c r="C2317" i="1"/>
  <c r="B2317" i="1"/>
  <c r="C2318" i="1"/>
  <c r="B2318" i="1"/>
  <c r="C2319" i="1"/>
  <c r="B2319" i="1"/>
  <c r="C2320" i="1"/>
  <c r="B2320" i="1"/>
  <c r="C2321" i="1"/>
  <c r="B2321" i="1"/>
  <c r="C2322" i="1"/>
  <c r="B2322" i="1"/>
  <c r="C2323" i="1"/>
  <c r="B2323" i="1"/>
  <c r="C2324" i="1"/>
  <c r="B2324" i="1"/>
  <c r="C2325" i="1"/>
  <c r="B2325" i="1"/>
  <c r="C2326" i="1"/>
  <c r="B2326" i="1"/>
  <c r="C2327" i="1"/>
  <c r="B2327" i="1"/>
  <c r="C2328" i="1"/>
  <c r="B2328" i="1"/>
  <c r="C2329" i="1"/>
  <c r="B2329" i="1"/>
  <c r="C2330" i="1"/>
  <c r="B2330" i="1"/>
  <c r="C2331" i="1"/>
  <c r="B2331" i="1"/>
  <c r="C2332" i="1"/>
  <c r="B2332" i="1"/>
  <c r="C2333" i="1"/>
  <c r="B2333" i="1"/>
  <c r="C2334" i="1"/>
  <c r="B2334" i="1"/>
  <c r="C2335" i="1"/>
  <c r="B2335" i="1"/>
  <c r="C2336" i="1"/>
  <c r="B2336" i="1"/>
  <c r="C2337" i="1"/>
  <c r="B2337" i="1"/>
  <c r="C2338" i="1"/>
  <c r="B2338" i="1"/>
  <c r="C2339" i="1"/>
  <c r="B2339" i="1"/>
  <c r="C2340" i="1"/>
  <c r="B2340" i="1"/>
  <c r="C2341" i="1"/>
  <c r="B2341" i="1"/>
  <c r="C2342" i="1"/>
  <c r="B2342" i="1"/>
  <c r="C2343" i="1"/>
  <c r="B2343" i="1"/>
  <c r="C2344" i="1"/>
  <c r="B2344" i="1"/>
  <c r="C2345" i="1"/>
  <c r="B2345" i="1"/>
  <c r="C2346" i="1"/>
  <c r="B2346" i="1"/>
  <c r="C2347" i="1"/>
  <c r="B2347" i="1"/>
  <c r="C2348" i="1"/>
  <c r="B2348" i="1"/>
  <c r="C2349" i="1"/>
  <c r="B2349" i="1"/>
  <c r="C2350" i="1"/>
  <c r="B2350" i="1"/>
  <c r="C2351" i="1"/>
  <c r="B2351" i="1"/>
  <c r="C2352" i="1"/>
  <c r="B2352" i="1"/>
  <c r="C2353" i="1"/>
  <c r="B2353" i="1"/>
  <c r="C2354" i="1"/>
  <c r="B2354" i="1"/>
  <c r="C2355" i="1"/>
  <c r="B2355" i="1"/>
  <c r="C2356" i="1"/>
  <c r="B2356" i="1"/>
  <c r="C2357" i="1"/>
  <c r="B2357" i="1"/>
  <c r="C2358" i="1"/>
  <c r="B2358" i="1"/>
  <c r="C2359" i="1"/>
  <c r="B2359" i="1"/>
  <c r="C2360" i="1"/>
  <c r="B2360" i="1"/>
  <c r="C2361" i="1"/>
  <c r="B2361" i="1"/>
  <c r="C2362" i="1"/>
  <c r="B2362" i="1"/>
  <c r="C2363" i="1"/>
  <c r="B2363" i="1"/>
  <c r="C2364" i="1"/>
  <c r="B2364" i="1"/>
  <c r="C2365" i="1"/>
  <c r="B2365" i="1"/>
  <c r="C2366" i="1"/>
  <c r="B2366" i="1"/>
  <c r="C2367" i="1"/>
  <c r="B2367" i="1"/>
  <c r="C2368" i="1"/>
  <c r="B2368" i="1"/>
  <c r="C2369" i="1"/>
  <c r="B2369" i="1"/>
  <c r="C2370" i="1"/>
  <c r="B2370" i="1"/>
  <c r="C2371" i="1"/>
  <c r="B2371" i="1"/>
  <c r="C2372" i="1"/>
  <c r="B2372" i="1"/>
  <c r="C2373" i="1"/>
  <c r="B2373" i="1"/>
  <c r="C2374" i="1"/>
  <c r="B2374" i="1"/>
  <c r="C2375" i="1"/>
  <c r="B2375" i="1"/>
  <c r="C2376" i="1"/>
  <c r="B2376" i="1"/>
  <c r="C2377" i="1"/>
  <c r="B2377" i="1"/>
  <c r="C2378" i="1"/>
  <c r="B2378" i="1"/>
  <c r="C2379" i="1"/>
  <c r="B2379" i="1"/>
  <c r="C2380" i="1"/>
  <c r="B2380" i="1"/>
  <c r="C2381" i="1"/>
  <c r="B2381" i="1"/>
  <c r="C2382" i="1"/>
  <c r="B2382" i="1"/>
  <c r="C2383" i="1"/>
  <c r="B2383" i="1"/>
  <c r="C2384" i="1"/>
  <c r="B2384" i="1"/>
  <c r="C2385" i="1"/>
  <c r="B2385" i="1"/>
  <c r="C2386" i="1"/>
  <c r="B2386" i="1"/>
  <c r="C2387" i="1"/>
  <c r="B2387" i="1"/>
  <c r="C2388" i="1"/>
  <c r="B2388" i="1"/>
  <c r="C2389" i="1"/>
  <c r="B2389" i="1"/>
  <c r="C2390" i="1"/>
  <c r="B2390" i="1"/>
  <c r="C2391" i="1"/>
  <c r="B2391" i="1"/>
  <c r="C2392" i="1"/>
  <c r="B2392" i="1"/>
  <c r="C2393" i="1"/>
  <c r="B2393" i="1"/>
  <c r="C2394" i="1"/>
  <c r="B2394" i="1"/>
  <c r="C2395" i="1"/>
  <c r="B2395" i="1"/>
  <c r="C2396" i="1"/>
  <c r="B2396" i="1"/>
  <c r="C2397" i="1"/>
  <c r="B2397" i="1"/>
  <c r="C2398" i="1"/>
  <c r="B2398" i="1"/>
  <c r="C2399" i="1"/>
  <c r="B2399" i="1"/>
  <c r="C2400" i="1"/>
  <c r="B2400" i="1"/>
  <c r="C2401" i="1"/>
  <c r="B2401" i="1"/>
  <c r="C2402" i="1"/>
  <c r="B2402" i="1"/>
  <c r="C2403" i="1"/>
  <c r="B2403" i="1"/>
  <c r="C2404" i="1"/>
  <c r="B2404" i="1"/>
  <c r="C2405" i="1"/>
  <c r="B2405" i="1"/>
  <c r="C2406" i="1"/>
  <c r="B2406" i="1"/>
  <c r="C2407" i="1"/>
  <c r="B2407" i="1"/>
  <c r="C2408" i="1"/>
  <c r="B2408" i="1"/>
  <c r="C2409" i="1"/>
  <c r="B2409" i="1"/>
  <c r="C2410" i="1"/>
  <c r="B2410" i="1"/>
  <c r="C2411" i="1"/>
  <c r="B2411" i="1"/>
  <c r="C2412" i="1"/>
  <c r="B2412" i="1"/>
  <c r="C2413" i="1"/>
  <c r="B2413" i="1"/>
  <c r="C2414" i="1"/>
  <c r="B2414" i="1"/>
  <c r="C2415" i="1"/>
  <c r="B2415" i="1"/>
  <c r="C2416" i="1"/>
  <c r="B2416" i="1"/>
  <c r="C2417" i="1"/>
  <c r="B2417" i="1"/>
  <c r="C2418" i="1"/>
  <c r="B2418" i="1"/>
  <c r="C2419" i="1"/>
  <c r="B2419" i="1"/>
  <c r="C2420" i="1"/>
  <c r="B2420" i="1"/>
  <c r="C2421" i="1"/>
  <c r="B2421" i="1"/>
  <c r="C2422" i="1"/>
  <c r="B2422" i="1"/>
</calcChain>
</file>

<file path=xl/sharedStrings.xml><?xml version="1.0" encoding="utf-8"?>
<sst xmlns="http://schemas.openxmlformats.org/spreadsheetml/2006/main" count="2433" uniqueCount="18">
  <si>
    <t>Redutor  WR 110 U 1:168 P90 B5 B3</t>
  </si>
  <si>
    <t>FONTE ALIMENTAÇAO 100-240 VAC OUT: 24 VDC/20 A - MONO</t>
  </si>
  <si>
    <t xml:space="preserve"> </t>
  </si>
  <si>
    <r>
      <t xml:space="preserve">LISTA GERAL MÁQUINA </t>
    </r>
    <r>
      <rPr>
        <b/>
        <sz val="18"/>
        <color rgb="FFFF0000"/>
        <rFont val="Calibri"/>
        <family val="2"/>
        <scheme val="minor"/>
      </rPr>
      <t xml:space="preserve">215 </t>
    </r>
    <r>
      <rPr>
        <b/>
        <sz val="18"/>
        <rFont val="Calibri"/>
        <family val="2"/>
        <scheme val="minor"/>
      </rPr>
      <t>ZETA 1000</t>
    </r>
    <r>
      <rPr>
        <b/>
        <sz val="18"/>
        <color theme="1"/>
        <rFont val="Calibri"/>
        <family val="2"/>
        <scheme val="minor"/>
      </rPr>
      <t xml:space="preserve"> - V01 08/07/2022</t>
    </r>
  </si>
  <si>
    <t>QUANTIDADE</t>
  </si>
  <si>
    <t>DESCRIÇÃO</t>
  </si>
  <si>
    <t>CÓDIGO</t>
  </si>
  <si>
    <t>DESENHO</t>
  </si>
  <si>
    <t>FORMA DE OBTENÇÃO</t>
  </si>
  <si>
    <t>M215</t>
  </si>
  <si>
    <t>T025</t>
  </si>
  <si>
    <t xml:space="preserve">				</t>
  </si>
  <si>
    <t>CONJUNTOS</t>
  </si>
  <si>
    <t>PEÇA</t>
  </si>
  <si>
    <t>COMERCIAL MECÂNICO</t>
  </si>
  <si>
    <t>ELETRICO</t>
  </si>
  <si>
    <t>PNEUMATICO</t>
  </si>
  <si>
    <t>OXICORTE/LASER/FUNDIDO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</si>
</sst>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#,##0.00"/>
    <numFmt numFmtId="165" formatCode="\C\J000"/>
    <numFmt numFmtId="166" formatCode="\P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4" borderId="0" xfId="0" applyFill="1"/>
    <xf numFmtId="165" fontId="0" fillId="0" borderId="0" xfId="0" applyNumberFormat="1"/>
    <xf numFmtId="165" fontId="0" fillId="34" borderId="0" xfId="0" applyNumberFormat="1" applyFill="1"/>
    <xf numFmtId="166" fontId="0" fillId="0" borderId="0" xfId="0" applyNumberFormat="1"/>
    <xf numFmtId="166" fontId="0" fillId="34" borderId="0" xfId="0" applyNumberFormat="1" applyFill="1"/>
    <xf numFmtId="49" fontId="0" fillId="35" borderId="0" xfId="0" applyNumberFormat="1" applyFill="1" applyAlignment="1">
      <alignment horizontal="center"/>
    </xf>
    <xf numFmtId="49" fontId="0" fillId="36" borderId="0" xfId="0" applyNumberFormat="1" applyFill="1" applyAlignment="1">
      <alignment horizontal="center"/>
    </xf>
    <xf numFmtId="49" fontId="13" fillId="37" borderId="0" xfId="0" applyNumberFormat="1" applyFont="1" applyFill="1" applyAlignment="1">
      <alignment horizontal="center"/>
    </xf>
    <xf numFmtId="49" fontId="21" fillId="38" borderId="0" xfId="0" applyNumberFormat="1" applyFont="1" applyFill="1" applyAlignment="1">
      <alignment horizontal="center"/>
    </xf>
    <xf numFmtId="49" fontId="21" fillId="39" borderId="0" xfId="0" applyNumberFormat="1" applyFont="1" applyFill="1" applyAlignment="1">
      <alignment horizontal="center"/>
    </xf>
    <xf numFmtId="49" fontId="0" fillId="40" borderId="0" xfId="0" applyNumberFormat="1" applyFill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0" xfId="0" applyNumberFormat="1" applyFont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3"/>
  <sheetViews>
    <sheetView showGridLines="0" tabSelected="1" topLeftCell="A2408" workbookViewId="0">
      <selection activeCell="G9" sqref="G9"/>
    </sheetView>
  </sheetViews>
  <sheetFormatPr defaultRowHeight="15" x14ac:dyDescent="0.25"/>
  <cols>
    <col min="1" max="1" width="17.42578125" bestFit="1" customWidth="1"/>
    <col min="2" max="2" width="68.85546875" bestFit="1" customWidth="1"/>
    <col min="3" max="3" width="16.28515625" bestFit="1" customWidth="1"/>
    <col min="4" max="4" width="9.42578125" bestFit="1" customWidth="1"/>
    <col min="5" max="5" width="25.7109375" bestFit="1" customWidth="1"/>
  </cols>
  <sheetData>
    <row r="1" spans="1:6" ht="23.25" x14ac:dyDescent="0.35">
      <c r="A1" s="17" t="s">
        <v>3</v>
      </c>
      <c r="B1" s="17"/>
      <c r="C1" s="17"/>
      <c r="D1" s="17"/>
      <c r="E1" s="17"/>
      <c r="F1" s="18"/>
    </row>
    <row r="2" spans="1:6" x14ac:dyDescent="0.25">
      <c r="A2" s="1" t="s">
        <v>4</v>
      </c>
      <c r="B2" s="2" t="s">
        <v>5</v>
      </c>
      <c r="C2" s="2" t="s">
        <v>6</v>
      </c>
      <c r="D2" s="3" t="s">
        <v>7</v>
      </c>
      <c r="E2" s="2" t="s">
        <v>8</v>
      </c>
    </row>
    <row r="3" spans="1:6" x14ac:dyDescent="0.25">
      <c r="A3" s="4">
        <v>1</v>
      </c>
      <c r="B3" t="str">
        <f>"SISTEMA ELÉTRICO PARA MESA DE LUZ/CONFERENCIA"</f>
        <v>SISTEMA ELÉTRICO PARA MESA DE LUZ/CONFERENCIA</v>
      </c>
      <c r="C3" t="str">
        <f>"21060006"</f>
        <v>21060006</v>
      </c>
      <c r="D3" s="7">
        <v>6</v>
      </c>
      <c r="E3" s="11" t="s">
        <v>12</v>
      </c>
    </row>
    <row r="4" spans="1:6" x14ac:dyDescent="0.25">
      <c r="A4" s="5">
        <v>1</v>
      </c>
      <c r="B4" s="6" t="str">
        <f>"SISTEMA ELÉTRICO PADRÃO ZETA"</f>
        <v>SISTEMA ELÉTRICO PADRÃO ZETA</v>
      </c>
      <c r="C4" s="6" t="str">
        <f>"21060300"</f>
        <v>21060300</v>
      </c>
      <c r="D4" s="8">
        <v>300</v>
      </c>
      <c r="E4" s="11" t="s">
        <v>12</v>
      </c>
    </row>
    <row r="5" spans="1:6" x14ac:dyDescent="0.25">
      <c r="A5" s="4">
        <v>1</v>
      </c>
      <c r="B5" t="str">
        <f>"SISTEMA ELÉTRICO ZETA BOSCH (PADRÃO - CANGURU)"</f>
        <v>SISTEMA ELÉTRICO ZETA BOSCH (PADRÃO - CANGURU)</v>
      </c>
      <c r="C5" t="str">
        <f>"21060302"</f>
        <v>21060302</v>
      </c>
      <c r="D5" s="7">
        <v>302</v>
      </c>
      <c r="E5" s="11" t="s">
        <v>12</v>
      </c>
    </row>
    <row r="6" spans="1:6" x14ac:dyDescent="0.25">
      <c r="A6" s="5">
        <v>1</v>
      </c>
      <c r="B6" s="6" t="str">
        <f>"SISTEMA ELÉTRICO ZETA ACESSÓRIOS"</f>
        <v>SISTEMA ELÉTRICO ZETA ACESSÓRIOS</v>
      </c>
      <c r="C6" s="6" t="str">
        <f>"21060304"</f>
        <v>21060304</v>
      </c>
      <c r="D6" s="8">
        <v>304</v>
      </c>
      <c r="E6" s="11" t="s">
        <v>12</v>
      </c>
    </row>
    <row r="7" spans="1:6" x14ac:dyDescent="0.25">
      <c r="A7" s="4">
        <v>1</v>
      </c>
      <c r="B7" t="str">
        <f>"SISTEMA ELÉTRICO ZETA RESISTÊNCIA"</f>
        <v>SISTEMA ELÉTRICO ZETA RESISTÊNCIA</v>
      </c>
      <c r="C7" t="str">
        <f>"21060308"</f>
        <v>21060308</v>
      </c>
      <c r="D7" s="7">
        <v>308</v>
      </c>
      <c r="E7" s="11" t="s">
        <v>12</v>
      </c>
    </row>
    <row r="8" spans="1:6" x14ac:dyDescent="0.25">
      <c r="A8" s="5">
        <v>1</v>
      </c>
      <c r="B8" s="6" t="str">
        <f>"SISTEMA ELÉTRICO ZETA DESBO. AUTOMÁTICO"</f>
        <v>SISTEMA ELÉTRICO ZETA DESBO. AUTOMÁTICO</v>
      </c>
      <c r="C8" s="6" t="str">
        <f>"21060322"</f>
        <v>21060322</v>
      </c>
      <c r="D8" s="8">
        <v>322</v>
      </c>
      <c r="E8" s="11" t="s">
        <v>12</v>
      </c>
    </row>
    <row r="9" spans="1:6" x14ac:dyDescent="0.25">
      <c r="A9" s="4">
        <v>1</v>
      </c>
      <c r="B9" t="str">
        <f>"SISTEMA ELÉTRICO ZETA REBO. AUTOMÁTICO"</f>
        <v>SISTEMA ELÉTRICO ZETA REBO. AUTOMÁTICO</v>
      </c>
      <c r="C9" t="str">
        <f>"21060332"</f>
        <v>21060332</v>
      </c>
      <c r="D9" s="7">
        <v>332</v>
      </c>
      <c r="E9" s="11" t="s">
        <v>12</v>
      </c>
    </row>
    <row r="10" spans="1:6" x14ac:dyDescent="0.25">
      <c r="A10" s="5">
        <v>1</v>
      </c>
      <c r="B10" s="6" t="str">
        <f>"SISTEMA ELÉTRICO  ZETA CALANDRA ATÉ 1000 MM"</f>
        <v>SISTEMA ELÉTRICO  ZETA CALANDRA ATÉ 1000 MM</v>
      </c>
      <c r="C10" s="6" t="str">
        <f>"21060336"</f>
        <v>21060336</v>
      </c>
      <c r="D10" s="8">
        <v>336</v>
      </c>
      <c r="E10" s="11" t="s">
        <v>12</v>
      </c>
    </row>
    <row r="11" spans="1:6" x14ac:dyDescent="0.25">
      <c r="A11" s="4">
        <v>3</v>
      </c>
      <c r="B11" t="str">
        <f>"ACIONAMENTO SENSOR ALINHADOR 1000 - 0036"</f>
        <v>ACIONAMENTO SENSOR ALINHADOR 1000 - 0036</v>
      </c>
      <c r="C11" t="str">
        <f>"21070036BE0"</f>
        <v>21070036BE0</v>
      </c>
      <c r="D11" s="7">
        <v>36</v>
      </c>
      <c r="E11" s="11" t="s">
        <v>12</v>
      </c>
    </row>
    <row r="12" spans="1:6" x14ac:dyDescent="0.25">
      <c r="A12" s="5">
        <v>2</v>
      </c>
      <c r="B12" s="6" t="str">
        <f>"ACIONAMENTO DO DISCO"</f>
        <v>ACIONAMENTO DO DISCO</v>
      </c>
      <c r="C12" s="6" t="str">
        <f>"21070231"</f>
        <v>21070231</v>
      </c>
      <c r="D12" s="8">
        <v>231</v>
      </c>
      <c r="E12" s="11" t="s">
        <v>12</v>
      </c>
    </row>
    <row r="13" spans="1:6" x14ac:dyDescent="0.25">
      <c r="A13" s="4">
        <v>1</v>
      </c>
      <c r="B13" t="str">
        <f>"ACIONAMENTO T.A.S - MAQ. 1000"</f>
        <v>ACIONAMENTO T.A.S - MAQ. 1000</v>
      </c>
      <c r="C13" t="str">
        <f>"21070278BE0"</f>
        <v>21070278BE0</v>
      </c>
      <c r="D13" s="7">
        <v>278</v>
      </c>
      <c r="E13" s="11" t="s">
        <v>12</v>
      </c>
    </row>
    <row r="14" spans="1:6" x14ac:dyDescent="0.25">
      <c r="A14" s="5">
        <v>1</v>
      </c>
      <c r="B14" s="6" t="str">
        <f>"ACIONAMENTO T.A.E MAQ. 1000"</f>
        <v>ACIONAMENTO T.A.E MAQ. 1000</v>
      </c>
      <c r="C14" s="6" t="str">
        <f>"21070279BE0"</f>
        <v>21070279BE0</v>
      </c>
      <c r="D14" s="8">
        <v>279</v>
      </c>
      <c r="E14" s="11" t="s">
        <v>12</v>
      </c>
    </row>
    <row r="15" spans="1:6" x14ac:dyDescent="0.25">
      <c r="A15" s="4">
        <v>1</v>
      </c>
      <c r="B15" t="str">
        <f>"ACIONAMENTO DA CALANDRA 1000 - 1165"</f>
        <v>ACIONAMENTO DA CALANDRA 1000 - 1165</v>
      </c>
      <c r="C15" t="str">
        <f>"21071165ZE0"</f>
        <v>21071165ZE0</v>
      </c>
      <c r="D15" s="7">
        <v>1165</v>
      </c>
      <c r="E15" s="11" t="s">
        <v>12</v>
      </c>
    </row>
    <row r="16" spans="1:6" x14ac:dyDescent="0.25">
      <c r="A16" s="5">
        <v>8</v>
      </c>
      <c r="B16" s="6" t="str">
        <f>"ACIONAMENTO ANILOX COM MOTOR 12 N.M"</f>
        <v>ACIONAMENTO ANILOX COM MOTOR 12 N.M</v>
      </c>
      <c r="C16" s="6" t="str">
        <f>"21071193"</f>
        <v>21071193</v>
      </c>
      <c r="D16" s="8">
        <v>1193</v>
      </c>
      <c r="E16" s="11" t="s">
        <v>12</v>
      </c>
    </row>
    <row r="17" spans="1:5" x14ac:dyDescent="0.25">
      <c r="A17" s="4">
        <v>4</v>
      </c>
      <c r="B17" t="str">
        <f>"ACIONAMENTO E REGISTRO LATERAL DO P/C 1 A 4 COR - MS2N10"</f>
        <v>ACIONAMENTO E REGISTRO LATERAL DO P/C 1 A 4 COR - MS2N10</v>
      </c>
      <c r="C17" t="str">
        <f>"21071250"</f>
        <v>21071250</v>
      </c>
      <c r="D17" s="7">
        <v>1250</v>
      </c>
      <c r="E17" s="11" t="s">
        <v>12</v>
      </c>
    </row>
    <row r="18" spans="1:5" x14ac:dyDescent="0.25">
      <c r="A18" s="5">
        <v>4</v>
      </c>
      <c r="B18" s="6" t="str">
        <f>"ACIONAMENTO E REGISTRO LATERAL DO P/C 5 A 8 COR - MS2N10"</f>
        <v>ACIONAMENTO E REGISTRO LATERAL DO P/C 5 A 8 COR - MS2N10</v>
      </c>
      <c r="C18" s="6" t="str">
        <f>"21071251"</f>
        <v>21071251</v>
      </c>
      <c r="D18" s="8">
        <v>1251</v>
      </c>
      <c r="E18" s="11" t="s">
        <v>12</v>
      </c>
    </row>
    <row r="19" spans="1:5" x14ac:dyDescent="0.25">
      <c r="A19" s="4">
        <v>2</v>
      </c>
      <c r="B19" t="str">
        <f>"ALINHADOR MAQ. 1000"</f>
        <v>ALINHADOR MAQ. 1000</v>
      </c>
      <c r="C19" t="str">
        <f>"21170935BE0"</f>
        <v>21170935BE0</v>
      </c>
      <c r="D19" s="7">
        <v>935</v>
      </c>
      <c r="E19" s="11" t="s">
        <v>12</v>
      </c>
    </row>
    <row r="20" spans="1:5" x14ac:dyDescent="0.25">
      <c r="A20" s="5">
        <v>4</v>
      </c>
      <c r="B20" s="6" t="str">
        <f>"ALIMENTAÇAO DO BALDE - INKSPEC"</f>
        <v>ALIMENTAÇAO DO BALDE - INKSPEC</v>
      </c>
      <c r="C20" s="6" t="str">
        <f>"21180841V04"</f>
        <v>21180841V04</v>
      </c>
      <c r="D20" s="8">
        <v>841</v>
      </c>
      <c r="E20" s="11" t="s">
        <v>12</v>
      </c>
    </row>
    <row r="21" spans="1:5" x14ac:dyDescent="0.25">
      <c r="A21" s="4">
        <v>8</v>
      </c>
      <c r="B21" t="str">
        <f>"ALIMENTAÇAO DO BALDE (ECONOMICO) - INKSPEC"</f>
        <v>ALIMENTAÇAO DO BALDE (ECONOMICO) - INKSPEC</v>
      </c>
      <c r="C21" t="str">
        <f>"21180841V05"</f>
        <v>21180841V05</v>
      </c>
      <c r="D21" s="7">
        <v>841</v>
      </c>
      <c r="E21" s="11" t="s">
        <v>12</v>
      </c>
    </row>
    <row r="22" spans="1:5" x14ac:dyDescent="0.25">
      <c r="A22" s="5">
        <v>2</v>
      </c>
      <c r="B22" s="6" t="str">
        <f>"ALIMENTAÇÃO DE SOLVENTE"</f>
        <v>ALIMENTAÇÃO DE SOLVENTE</v>
      </c>
      <c r="C22" s="6" t="str">
        <f>"21180932V02"</f>
        <v>21180932V02</v>
      </c>
      <c r="D22" s="8">
        <v>932</v>
      </c>
      <c r="E22" s="11" t="s">
        <v>12</v>
      </c>
    </row>
    <row r="23" spans="1:5" x14ac:dyDescent="0.25">
      <c r="A23" s="4">
        <v>1</v>
      </c>
      <c r="B23" t="str">
        <f>"ARMARIO ELETRICO PRINCIPAL - 1220"</f>
        <v>ARMARIO ELETRICO PRINCIPAL - 1220</v>
      </c>
      <c r="C23" t="str">
        <f>"21311220"</f>
        <v>21311220</v>
      </c>
      <c r="D23" s="7">
        <v>1220</v>
      </c>
      <c r="E23" s="11" t="s">
        <v>12</v>
      </c>
    </row>
    <row r="24" spans="1:5" x14ac:dyDescent="0.25">
      <c r="A24" s="5">
        <v>8</v>
      </c>
      <c r="B24" s="6" t="str">
        <f>"AVANCO MOTORIZADO (SERVO MOTOR) - 1190V01"</f>
        <v>AVANCO MOTORIZADO (SERVO MOTOR) - 1190V01</v>
      </c>
      <c r="C24" s="6" t="str">
        <f>"21381190V01"</f>
        <v>21381190V01</v>
      </c>
      <c r="D24" s="8">
        <v>1190</v>
      </c>
      <c r="E24" s="11" t="s">
        <v>12</v>
      </c>
    </row>
    <row r="25" spans="1:5" x14ac:dyDescent="0.25">
      <c r="A25" s="4">
        <v>8</v>
      </c>
      <c r="B25" t="str">
        <f>"AVANCO MOTORIZADO (SERVO MOTOR) - 1190V02"</f>
        <v>AVANCO MOTORIZADO (SERVO MOTOR) - 1190V02</v>
      </c>
      <c r="C25" t="str">
        <f>"21381190V02"</f>
        <v>21381190V02</v>
      </c>
      <c r="D25" s="7">
        <v>1190</v>
      </c>
      <c r="E25" s="11" t="s">
        <v>12</v>
      </c>
    </row>
    <row r="26" spans="1:5" x14ac:dyDescent="0.25">
      <c r="A26" s="5">
        <v>16</v>
      </c>
      <c r="B26" s="6" t="str">
        <f>"AVANCO MOTORIZADO (SERVO MOTOR) - 1190V03"</f>
        <v>AVANCO MOTORIZADO (SERVO MOTOR) - 1190V03</v>
      </c>
      <c r="C26" s="6" t="str">
        <f>"21381190V03"</f>
        <v>21381190V03</v>
      </c>
      <c r="D26" s="8">
        <v>1190</v>
      </c>
      <c r="E26" s="11" t="s">
        <v>12</v>
      </c>
    </row>
    <row r="27" spans="1:5" x14ac:dyDescent="0.25">
      <c r="A27" s="4">
        <v>1</v>
      </c>
      <c r="B27" t="str">
        <f>"BALANCA DE SAIDA LEVE MAQ. 1000"</f>
        <v>BALANCA DE SAIDA LEVE MAQ. 1000</v>
      </c>
      <c r="C27" t="str">
        <f>"21420303BE0"</f>
        <v>21420303BE0</v>
      </c>
      <c r="D27" s="7">
        <v>303</v>
      </c>
      <c r="E27" s="11" t="s">
        <v>12</v>
      </c>
    </row>
    <row r="28" spans="1:5" x14ac:dyDescent="0.25">
      <c r="A28" s="5">
        <v>1</v>
      </c>
      <c r="B28" s="6" t="str">
        <f>"BALANÇA DE ENTRADA LEVE MÁQ. 1000 - 1210"</f>
        <v>BALANÇA DE ENTRADA LEVE MÁQ. 1000 - 1210</v>
      </c>
      <c r="C28" s="6" t="str">
        <f>"21421210ZE0"</f>
        <v>21421210ZE0</v>
      </c>
      <c r="D28" s="8">
        <v>1210</v>
      </c>
      <c r="E28" s="11" t="s">
        <v>12</v>
      </c>
    </row>
    <row r="29" spans="1:5" x14ac:dyDescent="0.25">
      <c r="A29" s="4">
        <v>4</v>
      </c>
      <c r="B29" t="str">
        <f>"BASE DE NIVELAMENTO GRUPO IMPRESSOR"</f>
        <v>BASE DE NIVELAMENTO GRUPO IMPRESSOR</v>
      </c>
      <c r="C29" t="str">
        <f>"21481041"</f>
        <v>21481041</v>
      </c>
      <c r="D29" s="7">
        <v>1041</v>
      </c>
      <c r="E29" s="11" t="s">
        <v>12</v>
      </c>
    </row>
    <row r="30" spans="1:5" x14ac:dyDescent="0.25">
      <c r="A30" s="5">
        <v>2</v>
      </c>
      <c r="B30" s="6" t="str">
        <f>"BASE DE NIVELAMENTO CALANDRA"</f>
        <v>BASE DE NIVELAMENTO CALANDRA</v>
      </c>
      <c r="C30" s="6" t="str">
        <f>"21481042"</f>
        <v>21481042</v>
      </c>
      <c r="D30" s="8">
        <v>1042</v>
      </c>
      <c r="E30" s="11" t="s">
        <v>12</v>
      </c>
    </row>
    <row r="31" spans="1:5" x14ac:dyDescent="0.25">
      <c r="A31" s="4">
        <v>2</v>
      </c>
      <c r="B31" t="str">
        <f>"BOMBAS DE RETORNO"</f>
        <v>BOMBAS DE RETORNO</v>
      </c>
      <c r="C31" t="str">
        <f>"21591227"</f>
        <v>21591227</v>
      </c>
      <c r="D31" s="7">
        <v>1227</v>
      </c>
      <c r="E31" s="11" t="s">
        <v>12</v>
      </c>
    </row>
    <row r="32" spans="1:5" x14ac:dyDescent="0.25">
      <c r="A32" s="5">
        <v>1</v>
      </c>
      <c r="B32" s="6" t="str">
        <f>"BRAÇO DE CORTE MAQ.1000"</f>
        <v>BRAÇO DE CORTE MAQ.1000</v>
      </c>
      <c r="C32" s="6" t="str">
        <f>"21640628BE0"</f>
        <v>21640628BE0</v>
      </c>
      <c r="D32" s="8">
        <v>628</v>
      </c>
      <c r="E32" s="11" t="s">
        <v>12</v>
      </c>
    </row>
    <row r="33" spans="1:5" x14ac:dyDescent="0.25">
      <c r="A33" s="4">
        <v>1</v>
      </c>
      <c r="B33" t="str">
        <f>"BRAÇO DE CORTE MAQ.1000"</f>
        <v>BRAÇO DE CORTE MAQ.1000</v>
      </c>
      <c r="C33" t="str">
        <f>"21640629BE0"</f>
        <v>21640629BE0</v>
      </c>
      <c r="D33" s="7">
        <v>629</v>
      </c>
      <c r="E33" s="11" t="s">
        <v>12</v>
      </c>
    </row>
    <row r="34" spans="1:5" x14ac:dyDescent="0.25">
      <c r="A34" s="5">
        <v>1</v>
      </c>
      <c r="B34" s="6" t="str">
        <f>"CALANDRA - MÁQ. 1000 - 1162"</f>
        <v>CALANDRA - MÁQ. 1000 - 1162</v>
      </c>
      <c r="C34" s="6" t="str">
        <f>"21801162ZE0"</f>
        <v>21801162ZE0</v>
      </c>
      <c r="D34" s="8">
        <v>1162</v>
      </c>
      <c r="E34" s="11" t="s">
        <v>12</v>
      </c>
    </row>
    <row r="35" spans="1:5" x14ac:dyDescent="0.25">
      <c r="A35" s="4">
        <v>1</v>
      </c>
      <c r="B35" t="str">
        <f>"CARENAGENS T.A.E"</f>
        <v>CARENAGENS T.A.E</v>
      </c>
      <c r="C35" t="str">
        <f>"21950270"</f>
        <v>21950270</v>
      </c>
      <c r="D35" s="7">
        <v>270</v>
      </c>
      <c r="E35" s="11" t="s">
        <v>12</v>
      </c>
    </row>
    <row r="36" spans="1:5" x14ac:dyDescent="0.25">
      <c r="A36" s="5">
        <v>1</v>
      </c>
      <c r="B36" s="6" t="str">
        <f>"CARENAGENS T.A.S"</f>
        <v>CARENAGENS T.A.S</v>
      </c>
      <c r="C36" s="6" t="str">
        <f>"21950271"</f>
        <v>21950271</v>
      </c>
      <c r="D36" s="8">
        <v>271</v>
      </c>
      <c r="E36" s="11" t="s">
        <v>12</v>
      </c>
    </row>
    <row r="37" spans="1:5" x14ac:dyDescent="0.25">
      <c r="A37" s="4">
        <v>1</v>
      </c>
      <c r="B37" t="str">
        <f>"CARRO PORTA DOCTOR BLADE - 1000 mm"</f>
        <v>CARRO PORTA DOCTOR BLADE - 1000 mm</v>
      </c>
      <c r="C37" t="str">
        <f>"21970242BE8"</f>
        <v>21970242BE8</v>
      </c>
      <c r="D37" s="7">
        <v>242</v>
      </c>
      <c r="E37" s="11" t="s">
        <v>12</v>
      </c>
    </row>
    <row r="38" spans="1:5" x14ac:dyDescent="0.25">
      <c r="A38" s="5">
        <v>1</v>
      </c>
      <c r="B38" s="6" t="str">
        <f>"CARRO PORTA BALDE DE TINTA - 0552"</f>
        <v>CARRO PORTA BALDE DE TINTA - 0552</v>
      </c>
      <c r="C38" s="6" t="str">
        <f>"21970552"</f>
        <v>21970552</v>
      </c>
      <c r="D38" s="8">
        <v>552</v>
      </c>
      <c r="E38" s="11" t="s">
        <v>12</v>
      </c>
    </row>
    <row r="39" spans="1:5" x14ac:dyDescent="0.25">
      <c r="A39" s="4">
        <v>1</v>
      </c>
      <c r="B39" t="str">
        <f>"CARRO PORTA CAMISA Z-40 A Z-80"</f>
        <v>CARRO PORTA CAMISA Z-40 A Z-80</v>
      </c>
      <c r="C39" t="str">
        <f>"21970553"</f>
        <v>21970553</v>
      </c>
      <c r="D39" s="7">
        <v>553</v>
      </c>
      <c r="E39" s="11" t="s">
        <v>12</v>
      </c>
    </row>
    <row r="40" spans="1:5" x14ac:dyDescent="0.25">
      <c r="A40" s="5">
        <v>1</v>
      </c>
      <c r="B40" s="6" t="str">
        <f>"CELULA DE CARGA MAQ. 1000 - 1178"</f>
        <v>CELULA DE CARGA MAQ. 1000 - 1178</v>
      </c>
      <c r="C40" s="6" t="str">
        <f>"22001178ZE0"</f>
        <v>22001178ZE0</v>
      </c>
      <c r="D40" s="8">
        <v>1178</v>
      </c>
      <c r="E40" s="11" t="s">
        <v>12</v>
      </c>
    </row>
    <row r="41" spans="1:5" x14ac:dyDescent="0.25">
      <c r="A41" s="4">
        <v>2</v>
      </c>
      <c r="B41" t="str">
        <f>"CILINDRO DE BAIXO ATRITO"</f>
        <v>CILINDRO DE BAIXO ATRITO</v>
      </c>
      <c r="C41" t="str">
        <f>"22120055"</f>
        <v>22120055</v>
      </c>
      <c r="D41" s="7">
        <v>55</v>
      </c>
      <c r="E41" s="11" t="s">
        <v>12</v>
      </c>
    </row>
    <row r="42" spans="1:5" x14ac:dyDescent="0.25">
      <c r="A42" s="5">
        <v>1</v>
      </c>
      <c r="B42" s="6" t="str">
        <f>"CILINDRO CONTRA PRESSAO DE SAIDA MAQ. 1000"</f>
        <v>CILINDRO CONTRA PRESSAO DE SAIDA MAQ. 1000</v>
      </c>
      <c r="C42" s="6" t="str">
        <f>"22121166ZE0"</f>
        <v>22121166ZE0</v>
      </c>
      <c r="D42" s="8">
        <v>1166</v>
      </c>
      <c r="E42" s="11" t="s">
        <v>12</v>
      </c>
    </row>
    <row r="43" spans="1:5" x14ac:dyDescent="0.25">
      <c r="A43" s="4">
        <v>1</v>
      </c>
      <c r="B43" t="str">
        <f>"CILINDRO CONTRA PRESSAO DE ENTRADA 1179 - 1000 mm"</f>
        <v>CILINDRO CONTRA PRESSAO DE ENTRADA 1179 - 1000 mm</v>
      </c>
      <c r="C43" t="str">
        <f>"22121179ZE0"</f>
        <v>22121179ZE0</v>
      </c>
      <c r="D43" s="7">
        <v>1179</v>
      </c>
      <c r="E43" s="11" t="s">
        <v>12</v>
      </c>
    </row>
    <row r="44" spans="1:5" x14ac:dyDescent="0.25">
      <c r="A44" s="5">
        <v>1</v>
      </c>
      <c r="B44" s="6" t="str">
        <f>"CILINDRO CENTRAL MAQ. 1000"</f>
        <v>CILINDRO CENTRAL MAQ. 1000</v>
      </c>
      <c r="C44" s="6" t="str">
        <f>"22121180ZE8"</f>
        <v>22121180ZE8</v>
      </c>
      <c r="D44" s="8">
        <v>1180</v>
      </c>
      <c r="E44" s="11" t="s">
        <v>12</v>
      </c>
    </row>
    <row r="45" spans="1:5" x14ac:dyDescent="0.25">
      <c r="A45" s="4">
        <v>1</v>
      </c>
      <c r="B45" t="str">
        <f>"COMPACTADOR MAQ. 1000"</f>
        <v>COMPACTADOR MAQ. 1000</v>
      </c>
      <c r="C45" t="str">
        <f>"22210951BE0"</f>
        <v>22210951BE0</v>
      </c>
      <c r="D45" s="7">
        <v>951</v>
      </c>
      <c r="E45" s="11" t="s">
        <v>12</v>
      </c>
    </row>
    <row r="46" spans="1:5" x14ac:dyDescent="0.25">
      <c r="A46" s="5">
        <v>1</v>
      </c>
      <c r="B46" s="6" t="str">
        <f>"COMPACTADOR PNEUMATICO - 1000 mm"</f>
        <v>COMPACTADOR PNEUMATICO - 1000 mm</v>
      </c>
      <c r="C46" s="6" t="str">
        <f>"22211167ZE0"</f>
        <v>22211167ZE0</v>
      </c>
      <c r="D46" s="8">
        <v>1167</v>
      </c>
      <c r="E46" s="11" t="s">
        <v>12</v>
      </c>
    </row>
    <row r="47" spans="1:5" x14ac:dyDescent="0.25">
      <c r="A47" s="4">
        <v>8</v>
      </c>
      <c r="B47" t="str">
        <f>"DEPOSITO DE TINTA  ZETA 1000"</f>
        <v>DEPOSITO DE TINTA  ZETA 1000</v>
      </c>
      <c r="C47" t="str">
        <f>"22641206ZE0"</f>
        <v>22641206ZE0</v>
      </c>
      <c r="D47" s="7">
        <v>1206</v>
      </c>
      <c r="E47" s="11" t="s">
        <v>12</v>
      </c>
    </row>
    <row r="48" spans="1:5" x14ac:dyDescent="0.25">
      <c r="A48" s="5">
        <v>4</v>
      </c>
      <c r="B48" s="6" t="str">
        <f>"DEPOSITO DE TINTA  ZETA 1000 - 1207"</f>
        <v>DEPOSITO DE TINTA  ZETA 1000 - 1207</v>
      </c>
      <c r="C48" s="6" t="str">
        <f>"22641207ZE0"</f>
        <v>22641207ZE0</v>
      </c>
      <c r="D48" s="8">
        <v>1207</v>
      </c>
      <c r="E48" s="11" t="s">
        <v>12</v>
      </c>
    </row>
    <row r="49" spans="1:5" x14ac:dyDescent="0.25">
      <c r="A49" s="4">
        <v>4</v>
      </c>
      <c r="B49" t="str">
        <f>"DUTO DE VENTILAÇÃO E ENCODER CARC.160 (VENTILADOR Ø325)"</f>
        <v>DUTO DE VENTILAÇÃO E ENCODER CARC.160 (VENTILADOR Ø325)</v>
      </c>
      <c r="C49" t="str">
        <f>"22840577"</f>
        <v>22840577</v>
      </c>
      <c r="D49" s="7">
        <v>577</v>
      </c>
      <c r="E49" s="11" t="s">
        <v>12</v>
      </c>
    </row>
    <row r="50" spans="1:5" x14ac:dyDescent="0.25">
      <c r="A50" s="5">
        <v>1</v>
      </c>
      <c r="B50" s="6" t="str">
        <f>"SISTEMA ELÉTRICO PARA MÁQUINA 215"</f>
        <v>SISTEMA ELÉTRICO PARA MÁQUINA 215</v>
      </c>
      <c r="C50" s="6" t="str">
        <f>"22870215"</f>
        <v>22870215</v>
      </c>
      <c r="D50" s="8">
        <v>215</v>
      </c>
      <c r="E50" s="11" t="s">
        <v>12</v>
      </c>
    </row>
    <row r="51" spans="1:5" x14ac:dyDescent="0.25">
      <c r="A51" s="4">
        <v>2</v>
      </c>
      <c r="B51" t="str">
        <f>"ELEVADOR"</f>
        <v>ELEVADOR</v>
      </c>
      <c r="C51" t="str">
        <f>"22940259"</f>
        <v>22940259</v>
      </c>
      <c r="D51" s="7">
        <v>259</v>
      </c>
      <c r="E51" s="11" t="s">
        <v>12</v>
      </c>
    </row>
    <row r="52" spans="1:5" x14ac:dyDescent="0.25">
      <c r="A52" s="5">
        <v>4</v>
      </c>
      <c r="B52" s="6" t="str">
        <f>"ESTICADOR DE CORREIA"</f>
        <v>ESTICADOR DE CORREIA</v>
      </c>
      <c r="C52" s="6" t="str">
        <f>"23140230"</f>
        <v>23140230</v>
      </c>
      <c r="D52" s="8">
        <v>230</v>
      </c>
      <c r="E52" s="11" t="s">
        <v>12</v>
      </c>
    </row>
    <row r="53" spans="1:5" x14ac:dyDescent="0.25">
      <c r="A53" s="4">
        <v>1</v>
      </c>
      <c r="B53" t="str">
        <f>"ESTRUTURA TROCA AUTOMATICA - 1200"</f>
        <v>ESTRUTURA TROCA AUTOMATICA - 1200</v>
      </c>
      <c r="C53" t="str">
        <f>"23160217"</f>
        <v>23160217</v>
      </c>
      <c r="D53" s="7">
        <v>217</v>
      </c>
      <c r="E53" s="11" t="s">
        <v>12</v>
      </c>
    </row>
    <row r="54" spans="1:5" x14ac:dyDescent="0.25">
      <c r="A54" s="5">
        <v>1</v>
      </c>
      <c r="B54" s="6" t="str">
        <f>"ESTRUTURA TROCA AUTOMATICA - 1000"</f>
        <v>ESTRUTURA TROCA AUTOMATICA - 1000</v>
      </c>
      <c r="C54" s="6" t="str">
        <f>"23160217BE0"</f>
        <v>23160217BE0</v>
      </c>
      <c r="D54" s="8">
        <v>217</v>
      </c>
      <c r="E54" s="11" t="s">
        <v>12</v>
      </c>
    </row>
    <row r="55" spans="1:5" x14ac:dyDescent="0.25">
      <c r="A55" s="4">
        <v>1</v>
      </c>
      <c r="B55" t="str">
        <f>"ESTRUTURA T.A.S - MAQ. 1200"</f>
        <v>ESTRUTURA T.A.S - MAQ. 1200</v>
      </c>
      <c r="C55" t="str">
        <f>"23160221"</f>
        <v>23160221</v>
      </c>
      <c r="D55" s="7">
        <v>221</v>
      </c>
      <c r="E55" s="11" t="s">
        <v>12</v>
      </c>
    </row>
    <row r="56" spans="1:5" x14ac:dyDescent="0.25">
      <c r="A56" s="5">
        <v>2</v>
      </c>
      <c r="B56" s="6" t="str">
        <f>"ESTRUTURA MONTAGEM DOS DISCOS - MAQ. 1000"</f>
        <v>ESTRUTURA MONTAGEM DOS DISCOS - MAQ. 1000</v>
      </c>
      <c r="C56" s="6" t="str">
        <f>"23160222BE0"</f>
        <v>23160222BE0</v>
      </c>
      <c r="D56" s="8">
        <v>222</v>
      </c>
      <c r="E56" s="11" t="s">
        <v>12</v>
      </c>
    </row>
    <row r="57" spans="1:5" x14ac:dyDescent="0.25">
      <c r="A57" s="4">
        <v>1</v>
      </c>
      <c r="B57" t="str">
        <f>"ESTRUTURA DOS ROLETES DA BALANCA - MAQ. 1000 - 1105"</f>
        <v>ESTRUTURA DOS ROLETES DA BALANCA - MAQ. 1000 - 1105</v>
      </c>
      <c r="C57" t="str">
        <f>"23161105BE0"</f>
        <v>23161105BE0</v>
      </c>
      <c r="D57" s="7">
        <v>1105</v>
      </c>
      <c r="E57" s="11" t="s">
        <v>12</v>
      </c>
    </row>
    <row r="58" spans="1:5" x14ac:dyDescent="0.25">
      <c r="A58" s="5">
        <v>1</v>
      </c>
      <c r="B58" s="6" t="str">
        <f>"ESTRUTURA ZETA COM TROCA - MAQ. 1000 - 1152"</f>
        <v>ESTRUTURA ZETA COM TROCA - MAQ. 1000 - 1152</v>
      </c>
      <c r="C58" s="6" t="str">
        <f>"23161152ZE0"</f>
        <v>23161152ZE0</v>
      </c>
      <c r="D58" s="8">
        <v>1152</v>
      </c>
      <c r="E58" s="11" t="s">
        <v>12</v>
      </c>
    </row>
    <row r="59" spans="1:5" x14ac:dyDescent="0.25">
      <c r="A59" s="4">
        <v>1</v>
      </c>
      <c r="B59" t="str">
        <f>"ESTRUTURA - MAQ. 1000 - 1160"</f>
        <v>ESTRUTURA - MAQ. 1000 - 1160</v>
      </c>
      <c r="C59" t="str">
        <f>"23161160ZE0"</f>
        <v>23161160ZE0</v>
      </c>
      <c r="D59" s="7">
        <v>1160</v>
      </c>
      <c r="E59" s="11" t="s">
        <v>12</v>
      </c>
    </row>
    <row r="60" spans="1:5" x14ac:dyDescent="0.25">
      <c r="A60" s="5">
        <v>1</v>
      </c>
      <c r="B60" s="6" t="str">
        <f>"ESTRUTURA DA SECAGEM - MAQ. 1000 - 1188ZE0"</f>
        <v>ESTRUTURA DA SECAGEM - MAQ. 1000 - 1188ZE0</v>
      </c>
      <c r="C60" s="6" t="str">
        <f>"23161188ZE0"</f>
        <v>23161188ZE0</v>
      </c>
      <c r="D60" s="8">
        <v>1188</v>
      </c>
      <c r="E60" s="11" t="s">
        <v>12</v>
      </c>
    </row>
    <row r="61" spans="1:5" x14ac:dyDescent="0.25">
      <c r="A61" s="4">
        <v>1</v>
      </c>
      <c r="B61" t="str">
        <f>"ESTRUTURA  DO VIDEO SEM ALINHADOR"</f>
        <v>ESTRUTURA  DO VIDEO SEM ALINHADOR</v>
      </c>
      <c r="C61" t="str">
        <f>"23161214BE0"</f>
        <v>23161214BE0</v>
      </c>
      <c r="D61" s="7">
        <v>1214</v>
      </c>
      <c r="E61" s="11" t="s">
        <v>12</v>
      </c>
    </row>
    <row r="62" spans="1:5" x14ac:dyDescent="0.25">
      <c r="A62" s="5">
        <v>8</v>
      </c>
      <c r="B62" s="6" t="str">
        <f>"VENTILACAO FORCADA"</f>
        <v>VENTILACAO FORCADA</v>
      </c>
      <c r="C62" s="6" t="str">
        <f>"23590599"</f>
        <v>23590599</v>
      </c>
      <c r="D62" s="8">
        <v>599</v>
      </c>
      <c r="E62" s="11" t="s">
        <v>12</v>
      </c>
    </row>
    <row r="63" spans="1:5" x14ac:dyDescent="0.25">
      <c r="A63" s="4">
        <v>4</v>
      </c>
      <c r="B63" t="str">
        <f>"MANCAL TROCA RAPIDA COM PONTA DE EIXO"</f>
        <v>MANCAL TROCA RAPIDA COM PONTA DE EIXO</v>
      </c>
      <c r="C63" t="str">
        <f>"24180152V01"</f>
        <v>24180152V01</v>
      </c>
      <c r="D63" s="7">
        <v>152</v>
      </c>
      <c r="E63" s="11" t="s">
        <v>12</v>
      </c>
    </row>
    <row r="64" spans="1:5" x14ac:dyDescent="0.25">
      <c r="A64" s="5">
        <v>4</v>
      </c>
      <c r="B64" s="6" t="str">
        <f>"MANCAL TROCA RAPIDA SEM PONTA DE EIXO"</f>
        <v>MANCAL TROCA RAPIDA SEM PONTA DE EIXO</v>
      </c>
      <c r="C64" s="6" t="str">
        <f>"24180152V02"</f>
        <v>24180152V02</v>
      </c>
      <c r="D64" s="8">
        <v>152</v>
      </c>
      <c r="E64" s="11" t="s">
        <v>12</v>
      </c>
    </row>
    <row r="65" spans="1:5" x14ac:dyDescent="0.25">
      <c r="A65" s="4">
        <v>4</v>
      </c>
      <c r="B65" t="str">
        <f>"MANCAL ANILOX TROCA DE CAMISA 1 A 4 CORES"</f>
        <v>MANCAL ANILOX TROCA DE CAMISA 1 A 4 CORES</v>
      </c>
      <c r="C65" t="str">
        <f>"24181194"</f>
        <v>24181194</v>
      </c>
      <c r="D65" s="7">
        <v>1194</v>
      </c>
      <c r="E65" s="11" t="s">
        <v>12</v>
      </c>
    </row>
    <row r="66" spans="1:5" x14ac:dyDescent="0.25">
      <c r="A66" s="5">
        <v>4</v>
      </c>
      <c r="B66" s="6" t="str">
        <f>"MANCAL ANILOX TROCA DE CAMISA 5 A 8 CORES"</f>
        <v>MANCAL ANILOX TROCA DE CAMISA 5 A 8 CORES</v>
      </c>
      <c r="C66" s="6" t="str">
        <f>"24181195"</f>
        <v>24181195</v>
      </c>
      <c r="D66" s="8">
        <v>1195</v>
      </c>
      <c r="E66" s="11" t="s">
        <v>12</v>
      </c>
    </row>
    <row r="67" spans="1:5" x14ac:dyDescent="0.25">
      <c r="A67" s="4">
        <v>1</v>
      </c>
      <c r="B67" t="str">
        <f>"MANCAL PORTA CLICHE TROCA DE CAMISA 1 COR"</f>
        <v>MANCAL PORTA CLICHE TROCA DE CAMISA 1 COR</v>
      </c>
      <c r="C67" t="str">
        <f>"24181196"</f>
        <v>24181196</v>
      </c>
      <c r="D67" s="7">
        <v>1196</v>
      </c>
      <c r="E67" s="11" t="s">
        <v>12</v>
      </c>
    </row>
    <row r="68" spans="1:5" x14ac:dyDescent="0.25">
      <c r="A68" s="5">
        <v>1</v>
      </c>
      <c r="B68" s="6" t="str">
        <f>"MANCAL PORTA CLICHE TROCA DE CAMISA 8 COR"</f>
        <v>MANCAL PORTA CLICHE TROCA DE CAMISA 8 COR</v>
      </c>
      <c r="C68" s="6" t="str">
        <f>"24181197"</f>
        <v>24181197</v>
      </c>
      <c r="D68" s="8">
        <v>1197</v>
      </c>
      <c r="E68" s="11" t="s">
        <v>12</v>
      </c>
    </row>
    <row r="69" spans="1:5" x14ac:dyDescent="0.25">
      <c r="A69" s="4">
        <v>3</v>
      </c>
      <c r="B69" t="str">
        <f>"MANCAL PORTA CLICHE TROCA DE CAMISA 2 A 4 CORES"</f>
        <v>MANCAL PORTA CLICHE TROCA DE CAMISA 2 A 4 CORES</v>
      </c>
      <c r="C69" t="str">
        <f>"24181198"</f>
        <v>24181198</v>
      </c>
      <c r="D69" s="7">
        <v>1198</v>
      </c>
      <c r="E69" s="11" t="s">
        <v>12</v>
      </c>
    </row>
    <row r="70" spans="1:5" x14ac:dyDescent="0.25">
      <c r="A70" s="5">
        <v>3</v>
      </c>
      <c r="B70" s="6" t="str">
        <f>"MANCAL PORTA CLICHE TROCA DE CAMISA 5 a 7 CORES"</f>
        <v>MANCAL PORTA CLICHE TROCA DE CAMISA 5 a 7 CORES</v>
      </c>
      <c r="C70" s="6" t="str">
        <f>"24181199"</f>
        <v>24181199</v>
      </c>
      <c r="D70" s="8">
        <v>1199</v>
      </c>
      <c r="E70" s="11" t="s">
        <v>12</v>
      </c>
    </row>
    <row r="71" spans="1:5" x14ac:dyDescent="0.25">
      <c r="A71" s="4">
        <v>4</v>
      </c>
      <c r="B71" t="str">
        <f>"MANCAL PORTA CLICHE 1 A 4 COR LADO MOTOR"</f>
        <v>MANCAL PORTA CLICHE 1 A 4 COR LADO MOTOR</v>
      </c>
      <c r="C71" t="str">
        <f>"24181200"</f>
        <v>24181200</v>
      </c>
      <c r="D71" s="7">
        <v>1200</v>
      </c>
      <c r="E71" s="11" t="s">
        <v>12</v>
      </c>
    </row>
    <row r="72" spans="1:5" x14ac:dyDescent="0.25">
      <c r="A72" s="5">
        <v>4</v>
      </c>
      <c r="B72" s="6" t="str">
        <f>"MANCAL PORTA CLICHE 5 A 8 COR LADO MOTOR"</f>
        <v>MANCAL PORTA CLICHE 5 A 8 COR LADO MOTOR</v>
      </c>
      <c r="C72" s="6" t="str">
        <f>"24181201"</f>
        <v>24181201</v>
      </c>
      <c r="D72" s="8">
        <v>1201</v>
      </c>
      <c r="E72" s="11" t="s">
        <v>12</v>
      </c>
    </row>
    <row r="73" spans="1:5" x14ac:dyDescent="0.25">
      <c r="A73" s="4">
        <v>4</v>
      </c>
      <c r="B73" t="str">
        <f>"MANCAL ANILOX 1 A 4 COR LADO MOTOR"</f>
        <v>MANCAL ANILOX 1 A 4 COR LADO MOTOR</v>
      </c>
      <c r="C73" t="str">
        <f>"24181202"</f>
        <v>24181202</v>
      </c>
      <c r="D73" s="7">
        <v>1202</v>
      </c>
      <c r="E73" s="11" t="s">
        <v>12</v>
      </c>
    </row>
    <row r="74" spans="1:5" x14ac:dyDescent="0.25">
      <c r="A74" s="5">
        <v>4</v>
      </c>
      <c r="B74" s="6" t="str">
        <f>"MANCAL ANILOX 5 A 8 COR LADO MOTOR"</f>
        <v>MANCAL ANILOX 5 A 8 COR LADO MOTOR</v>
      </c>
      <c r="C74" s="6" t="str">
        <f>"24181203"</f>
        <v>24181203</v>
      </c>
      <c r="D74" s="8">
        <v>1203</v>
      </c>
      <c r="E74" s="11" t="s">
        <v>12</v>
      </c>
    </row>
    <row r="75" spans="1:5" x14ac:dyDescent="0.25">
      <c r="A75" s="4">
        <v>1</v>
      </c>
      <c r="B75" t="str">
        <f>"MANDRIL PC E ANILOX PARA BETA 1000 MAQ. 215"</f>
        <v>MANDRIL PC E ANILOX PARA BETA 1000 MAQ. 215</v>
      </c>
      <c r="C75" t="str">
        <f>"2420M215"</f>
        <v>2420M215</v>
      </c>
      <c r="D75" s="7" t="s">
        <v>9</v>
      </c>
      <c r="E75" s="11" t="s">
        <v>12</v>
      </c>
    </row>
    <row r="76" spans="1:5" x14ac:dyDescent="0.25">
      <c r="A76" s="5">
        <v>1</v>
      </c>
      <c r="B76" s="6" t="str">
        <f>"MESA DE CONFERENCIA"</f>
        <v>MESA DE CONFERENCIA</v>
      </c>
      <c r="C76" s="6" t="str">
        <f>"24360490"</f>
        <v>24360490</v>
      </c>
      <c r="D76" s="8">
        <v>490</v>
      </c>
      <c r="E76" s="11" t="s">
        <v>12</v>
      </c>
    </row>
    <row r="77" spans="1:5" x14ac:dyDescent="0.25">
      <c r="A77" s="4">
        <v>1</v>
      </c>
      <c r="B77" t="str">
        <f>"PACOTE DE ACESSORIOS e EXTRAS"</f>
        <v>PACOTE DE ACESSORIOS e EXTRAS</v>
      </c>
      <c r="C77" t="str">
        <f>"24690215"</f>
        <v>24690215</v>
      </c>
      <c r="D77" s="7">
        <v>215</v>
      </c>
      <c r="E77" s="11" t="s">
        <v>12</v>
      </c>
    </row>
    <row r="78" spans="1:5" x14ac:dyDescent="0.25">
      <c r="A78" s="5">
        <v>1</v>
      </c>
      <c r="B78" s="6" t="str">
        <f>"PAINEL DO LAVADOR 1ª A 4ª CORES"</f>
        <v>PAINEL DO LAVADOR 1ª A 4ª CORES</v>
      </c>
      <c r="C78" s="6" t="str">
        <f>"24721010V01"</f>
        <v>24721010V01</v>
      </c>
      <c r="D78" s="8">
        <v>1010</v>
      </c>
      <c r="E78" s="11" t="s">
        <v>12</v>
      </c>
    </row>
    <row r="79" spans="1:5" x14ac:dyDescent="0.25">
      <c r="A79" s="4">
        <v>1</v>
      </c>
      <c r="B79" t="str">
        <f>"PLACA DO LAVADOR 1ª A 4ª CORES - 1011V01"</f>
        <v>PLACA DO LAVADOR 1ª A 4ª CORES - 1011V01</v>
      </c>
      <c r="C79" t="str">
        <f>"24721011V01"</f>
        <v>24721011V01</v>
      </c>
      <c r="D79" s="7">
        <v>1011</v>
      </c>
      <c r="E79" s="11" t="s">
        <v>12</v>
      </c>
    </row>
    <row r="80" spans="1:5" x14ac:dyDescent="0.25">
      <c r="A80" s="5">
        <v>1</v>
      </c>
      <c r="B80" s="6" t="str">
        <f>"PAINEL DO LAVADOR 5ª A 8ª CORES"</f>
        <v>PAINEL DO LAVADOR 5ª A 8ª CORES</v>
      </c>
      <c r="C80" s="6" t="str">
        <f>"24721012V01"</f>
        <v>24721012V01</v>
      </c>
      <c r="D80" s="8">
        <v>1012</v>
      </c>
      <c r="E80" s="11" t="s">
        <v>12</v>
      </c>
    </row>
    <row r="81" spans="1:5" x14ac:dyDescent="0.25">
      <c r="A81" s="4">
        <v>1</v>
      </c>
      <c r="B81" t="str">
        <f>"PLACA DO LAVADOR 5ª A 8ª CORES - 1013V01"</f>
        <v>PLACA DO LAVADOR 5ª A 8ª CORES - 1013V01</v>
      </c>
      <c r="C81" t="str">
        <f>"24721013V01"</f>
        <v>24721013V01</v>
      </c>
      <c r="D81" s="7">
        <v>1013</v>
      </c>
      <c r="E81" s="11" t="s">
        <v>12</v>
      </c>
    </row>
    <row r="82" spans="1:5" x14ac:dyDescent="0.25">
      <c r="A82" s="5">
        <v>1</v>
      </c>
      <c r="B82" s="6" t="str">
        <f>"PAINEL DE COMANDO - 1245"</f>
        <v>PAINEL DE COMANDO - 1245</v>
      </c>
      <c r="C82" s="6" t="str">
        <f>"24721245"</f>
        <v>24721245</v>
      </c>
      <c r="D82" s="8">
        <v>1245</v>
      </c>
      <c r="E82" s="11" t="s">
        <v>12</v>
      </c>
    </row>
    <row r="83" spans="1:5" x14ac:dyDescent="0.25">
      <c r="A83" s="4">
        <v>1</v>
      </c>
      <c r="B83" t="str">
        <f>"PATAMAR DA MAQUINA MAQ. 1000 - 1189"</f>
        <v>PATAMAR DA MAQUINA MAQ. 1000 - 1189</v>
      </c>
      <c r="C83" t="str">
        <f>"24801189ZE0"</f>
        <v>24801189ZE0</v>
      </c>
      <c r="D83" s="7">
        <v>1189</v>
      </c>
      <c r="E83" s="11" t="s">
        <v>12</v>
      </c>
    </row>
    <row r="84" spans="1:5" x14ac:dyDescent="0.25">
      <c r="A84" s="5">
        <v>1</v>
      </c>
      <c r="B84" s="6" t="str">
        <f>"PNEUMATICO DO CONTRA PRESSAO DE SAIDA"</f>
        <v>PNEUMATICO DO CONTRA PRESSAO DE SAIDA</v>
      </c>
      <c r="C84" s="6" t="str">
        <f>"24910535"</f>
        <v>24910535</v>
      </c>
      <c r="D84" s="8">
        <v>535</v>
      </c>
      <c r="E84" s="11" t="s">
        <v>12</v>
      </c>
    </row>
    <row r="85" spans="1:5" x14ac:dyDescent="0.25">
      <c r="A85" s="4">
        <v>1</v>
      </c>
      <c r="B85" t="str">
        <f>"PNEUMATICO ALIMENTAÇÃO"</f>
        <v>PNEUMATICO ALIMENTAÇÃO</v>
      </c>
      <c r="C85" t="str">
        <f>"24910538"</f>
        <v>24910538</v>
      </c>
      <c r="D85" s="7">
        <v>538</v>
      </c>
      <c r="E85" s="11" t="s">
        <v>12</v>
      </c>
    </row>
    <row r="86" spans="1:5" x14ac:dyDescent="0.25">
      <c r="A86" s="5">
        <v>1</v>
      </c>
      <c r="B86" s="6" t="str">
        <f>"PNEUMATICO DO CONTRA PRESSAO DE ENTRADA"</f>
        <v>PNEUMATICO DO CONTRA PRESSAO DE ENTRADA</v>
      </c>
      <c r="C86" s="6" t="str">
        <f>"24910539"</f>
        <v>24910539</v>
      </c>
      <c r="D86" s="8">
        <v>539</v>
      </c>
      <c r="E86" s="11" t="s">
        <v>12</v>
      </c>
    </row>
    <row r="87" spans="1:5" x14ac:dyDescent="0.25">
      <c r="A87" s="4">
        <v>1</v>
      </c>
      <c r="B87" t="str">
        <f>"PNEUMATICO DA TROCA AUTOMATICA DE SAIDA"</f>
        <v>PNEUMATICO DA TROCA AUTOMATICA DE SAIDA</v>
      </c>
      <c r="C87" t="str">
        <f>"24910543"</f>
        <v>24910543</v>
      </c>
      <c r="D87" s="7">
        <v>543</v>
      </c>
      <c r="E87" s="11" t="s">
        <v>12</v>
      </c>
    </row>
    <row r="88" spans="1:5" x14ac:dyDescent="0.25">
      <c r="A88" s="5">
        <v>1</v>
      </c>
      <c r="B88" s="6" t="str">
        <f>"PNEUMÁTICO VISCOSÍMETRO INKSPEC"</f>
        <v>PNEUMÁTICO VISCOSÍMETRO INKSPEC</v>
      </c>
      <c r="C88" s="6" t="str">
        <f>"24910545V01"</f>
        <v>24910545V01</v>
      </c>
      <c r="D88" s="8">
        <v>545</v>
      </c>
      <c r="E88" s="11" t="s">
        <v>12</v>
      </c>
    </row>
    <row r="89" spans="1:5" x14ac:dyDescent="0.25">
      <c r="A89" s="4">
        <v>1</v>
      </c>
      <c r="B89" t="str">
        <f>"PNEUMATICO DE ALIMENTACAO DO EASYCLEAN"</f>
        <v>PNEUMATICO DE ALIMENTACAO DO EASYCLEAN</v>
      </c>
      <c r="C89" t="str">
        <f>"24910546"</f>
        <v>24910546</v>
      </c>
      <c r="D89" s="7">
        <v>546</v>
      </c>
      <c r="E89" s="11" t="s">
        <v>12</v>
      </c>
    </row>
    <row r="90" spans="1:5" x14ac:dyDescent="0.25">
      <c r="A90" s="5">
        <v>1</v>
      </c>
      <c r="B90" s="6" t="str">
        <f>"PNEUMATICO DA TROCA AUTOMATICA DE ENTRADA"</f>
        <v>PNEUMATICO DA TROCA AUTOMATICA DE ENTRADA</v>
      </c>
      <c r="C90" s="6" t="str">
        <f>"24910631"</f>
        <v>24910631</v>
      </c>
      <c r="D90" s="8">
        <v>631</v>
      </c>
      <c r="E90" s="11" t="s">
        <v>12</v>
      </c>
    </row>
    <row r="91" spans="1:5" x14ac:dyDescent="0.25">
      <c r="A91" s="4">
        <v>2</v>
      </c>
      <c r="B91" t="str">
        <f>"PNEUMATICO BOMBA PILOTADA"</f>
        <v>PNEUMATICO BOMBA PILOTADA</v>
      </c>
      <c r="C91" t="str">
        <f>"24910696"</f>
        <v>24910696</v>
      </c>
      <c r="D91" s="7">
        <v>696</v>
      </c>
      <c r="E91" s="11" t="s">
        <v>12</v>
      </c>
    </row>
    <row r="92" spans="1:5" x14ac:dyDescent="0.25">
      <c r="A92" s="5">
        <v>1</v>
      </c>
      <c r="B92" s="6" t="str">
        <f>"ALIMENTAÇÃO DE AR DO LAVADOR"</f>
        <v>ALIMENTAÇÃO DE AR DO LAVADOR</v>
      </c>
      <c r="C92" s="6" t="str">
        <f>"24910698"</f>
        <v>24910698</v>
      </c>
      <c r="D92" s="8">
        <v>698</v>
      </c>
      <c r="E92" s="11" t="s">
        <v>12</v>
      </c>
    </row>
    <row r="93" spans="1:5" x14ac:dyDescent="0.25">
      <c r="A93" s="4">
        <v>2</v>
      </c>
      <c r="B93" t="str">
        <f>"PNEUMATICO DA BALANÇA"</f>
        <v>PNEUMATICO DA BALANÇA</v>
      </c>
      <c r="C93" t="str">
        <f>"24910746"</f>
        <v>24910746</v>
      </c>
      <c r="D93" s="7">
        <v>746</v>
      </c>
      <c r="E93" s="11" t="s">
        <v>12</v>
      </c>
    </row>
    <row r="94" spans="1:5" x14ac:dyDescent="0.25">
      <c r="A94" s="5">
        <v>2</v>
      </c>
      <c r="B94" s="6" t="str">
        <f>"PNEUMATICO ACIONAMENTO POWER CLEAN"</f>
        <v>PNEUMATICO ACIONAMENTO POWER CLEAN</v>
      </c>
      <c r="C94" s="6" t="str">
        <f>"24910952"</f>
        <v>24910952</v>
      </c>
      <c r="D94" s="8">
        <v>952</v>
      </c>
      <c r="E94" s="11" t="s">
        <v>12</v>
      </c>
    </row>
    <row r="95" spans="1:5" x14ac:dyDescent="0.25">
      <c r="A95" s="4">
        <v>2</v>
      </c>
      <c r="B95" t="str">
        <f>"CONJUNTO  ACIONAMENTO COM ATUADOR PNEUMATICO"</f>
        <v>CONJUNTO  ACIONAMENTO COM ATUADOR PNEUMATICO</v>
      </c>
      <c r="C95" t="str">
        <f>"24910953"</f>
        <v>24910953</v>
      </c>
      <c r="D95" s="7">
        <v>953</v>
      </c>
      <c r="E95" s="11" t="s">
        <v>12</v>
      </c>
    </row>
    <row r="96" spans="1:5" x14ac:dyDescent="0.25">
      <c r="A96" s="5">
        <v>1</v>
      </c>
      <c r="B96" s="6" t="str">
        <f>"PNEUMATICO ABERTURA SECAGEM FINAL"</f>
        <v>PNEUMATICO ABERTURA SECAGEM FINAL</v>
      </c>
      <c r="C96" s="6" t="str">
        <f>"24911037"</f>
        <v>24911037</v>
      </c>
      <c r="D96" s="8">
        <v>1037</v>
      </c>
      <c r="E96" s="11" t="s">
        <v>12</v>
      </c>
    </row>
    <row r="97" spans="1:5" x14ac:dyDescent="0.25">
      <c r="A97" s="4">
        <v>1</v>
      </c>
      <c r="B97" t="str">
        <f>"PNEUMATICO MANDRIL"</f>
        <v>PNEUMATICO MANDRIL</v>
      </c>
      <c r="C97" t="str">
        <f>"24911038"</f>
        <v>24911038</v>
      </c>
      <c r="D97" s="7">
        <v>1038</v>
      </c>
      <c r="E97" s="11" t="s">
        <v>12</v>
      </c>
    </row>
    <row r="98" spans="1:5" x14ac:dyDescent="0.25">
      <c r="A98" s="5">
        <v>1</v>
      </c>
      <c r="B98" s="6" t="str">
        <f>"PNEUMATICO DOCTOR BLADE"</f>
        <v>PNEUMATICO DOCTOR BLADE</v>
      </c>
      <c r="C98" s="6" t="str">
        <f>"24911039"</f>
        <v>24911039</v>
      </c>
      <c r="D98" s="8">
        <v>1039</v>
      </c>
      <c r="E98" s="11" t="s">
        <v>12</v>
      </c>
    </row>
    <row r="99" spans="1:5" x14ac:dyDescent="0.25">
      <c r="A99" s="4">
        <v>1</v>
      </c>
      <c r="B99" t="str">
        <f>"PNEUMÁTICO COMPACTADOR SIMPLES"</f>
        <v>PNEUMÁTICO COMPACTADOR SIMPLES</v>
      </c>
      <c r="C99" t="str">
        <f>"24911045"</f>
        <v>24911045</v>
      </c>
      <c r="D99" s="7">
        <v>1045</v>
      </c>
      <c r="E99" s="11" t="s">
        <v>12</v>
      </c>
    </row>
    <row r="100" spans="1:5" x14ac:dyDescent="0.25">
      <c r="A100" s="5">
        <v>1</v>
      </c>
      <c r="B100" s="6" t="str">
        <f>"POLIA DUPLA"</f>
        <v>POLIA DUPLA</v>
      </c>
      <c r="C100" s="6" t="str">
        <f>"24960257"</f>
        <v>24960257</v>
      </c>
      <c r="D100" s="8">
        <v>257</v>
      </c>
      <c r="E100" s="11" t="s">
        <v>12</v>
      </c>
    </row>
    <row r="101" spans="1:5" x14ac:dyDescent="0.25">
      <c r="A101" s="4">
        <v>1</v>
      </c>
      <c r="B101" t="str">
        <f>"POLIA DUPLA C/ PNEUMÁTICO"</f>
        <v>POLIA DUPLA C/ PNEUMÁTICO</v>
      </c>
      <c r="C101" t="str">
        <f>"24960281"</f>
        <v>24960281</v>
      </c>
      <c r="D101" s="7">
        <v>281</v>
      </c>
      <c r="E101" s="11" t="s">
        <v>12</v>
      </c>
    </row>
    <row r="102" spans="1:5" x14ac:dyDescent="0.25">
      <c r="A102" s="5">
        <v>2</v>
      </c>
      <c r="B102" s="6" t="str">
        <f>"POLIA DUPLA UNIAO ELETRICA"</f>
        <v>POLIA DUPLA UNIAO ELETRICA</v>
      </c>
      <c r="C102" s="6" t="str">
        <f>"24960282"</f>
        <v>24960282</v>
      </c>
      <c r="D102" s="8">
        <v>282</v>
      </c>
      <c r="E102" s="11" t="s">
        <v>12</v>
      </c>
    </row>
    <row r="103" spans="1:5" x14ac:dyDescent="0.25">
      <c r="A103" s="4">
        <v>1</v>
      </c>
      <c r="B103" t="str">
        <f>"PROTEÇÃO DE BARREIRA MAQ. 1000"</f>
        <v>PROTEÇÃO DE BARREIRA MAQ. 1000</v>
      </c>
      <c r="C103" t="str">
        <f>"25120921BE0"</f>
        <v>25120921BE0</v>
      </c>
      <c r="D103" s="7">
        <v>921</v>
      </c>
      <c r="E103" s="11" t="s">
        <v>12</v>
      </c>
    </row>
    <row r="104" spans="1:5" x14ac:dyDescent="0.25">
      <c r="A104" s="5">
        <v>1</v>
      </c>
      <c r="B104" s="6" t="str">
        <f>"PROTEÇÃO DE BARREIRA MAQ. 1000"</f>
        <v>PROTEÇÃO DE BARREIRA MAQ. 1000</v>
      </c>
      <c r="C104" s="6" t="str">
        <f>"25120922BE0"</f>
        <v>25120922BE0</v>
      </c>
      <c r="D104" s="8">
        <v>922</v>
      </c>
      <c r="E104" s="11" t="s">
        <v>12</v>
      </c>
    </row>
    <row r="105" spans="1:5" x14ac:dyDescent="0.25">
      <c r="A105" s="4">
        <v>4</v>
      </c>
      <c r="B105" t="str">
        <f>"RODIZIO DE APOIO - 0223"</f>
        <v>RODIZIO DE APOIO - 0223</v>
      </c>
      <c r="C105" t="str">
        <f>"25520223"</f>
        <v>25520223</v>
      </c>
      <c r="D105" s="7">
        <v>223</v>
      </c>
      <c r="E105" s="11" t="s">
        <v>12</v>
      </c>
    </row>
    <row r="106" spans="1:5" x14ac:dyDescent="0.25">
      <c r="A106" s="5">
        <v>4</v>
      </c>
      <c r="B106" s="6" t="str">
        <f>"RODIZIO GUIA EXENTRICA"</f>
        <v>RODIZIO GUIA EXENTRICA</v>
      </c>
      <c r="C106" s="6" t="str">
        <f>"25520224"</f>
        <v>25520224</v>
      </c>
      <c r="D106" s="8">
        <v>224</v>
      </c>
      <c r="E106" s="11" t="s">
        <v>12</v>
      </c>
    </row>
    <row r="107" spans="1:5" x14ac:dyDescent="0.25">
      <c r="A107" s="4">
        <v>4</v>
      </c>
      <c r="B107" t="str">
        <f>"RODIZIO GUIA - 0225"</f>
        <v>RODIZIO GUIA - 0225</v>
      </c>
      <c r="C107" t="str">
        <f>"25520225"</f>
        <v>25520225</v>
      </c>
      <c r="D107" s="7">
        <v>225</v>
      </c>
      <c r="E107" s="11" t="s">
        <v>12</v>
      </c>
    </row>
    <row r="108" spans="1:5" x14ac:dyDescent="0.25">
      <c r="A108" s="5">
        <v>4</v>
      </c>
      <c r="B108" s="6" t="str">
        <f>"RODIZIO DE APOIO - 0226"</f>
        <v>RODIZIO DE APOIO - 0226</v>
      </c>
      <c r="C108" s="6" t="str">
        <f>"25520226"</f>
        <v>25520226</v>
      </c>
      <c r="D108" s="8">
        <v>226</v>
      </c>
      <c r="E108" s="11" t="s">
        <v>12</v>
      </c>
    </row>
    <row r="109" spans="1:5" x14ac:dyDescent="0.25">
      <c r="A109" s="4">
        <v>4</v>
      </c>
      <c r="B109" t="str">
        <f>"ROLETE 4"" DA BALANÇA MAQ. 1000"</f>
        <v>ROLETE 4" DA BALANÇA MAQ. 1000</v>
      </c>
      <c r="C109" t="str">
        <f>"25560304BE0"</f>
        <v>25560304BE0</v>
      </c>
      <c r="D109" s="7">
        <v>304</v>
      </c>
      <c r="E109" s="11" t="s">
        <v>12</v>
      </c>
    </row>
    <row r="110" spans="1:5" x14ac:dyDescent="0.25">
      <c r="A110" s="5">
        <v>1</v>
      </c>
      <c r="B110" s="6" t="str">
        <f>"ROLETE 4"" MAQ. 1000"</f>
        <v>ROLETE 4" MAQ. 1000</v>
      </c>
      <c r="C110" s="6" t="str">
        <f>"25560356BE0"</f>
        <v>25560356BE0</v>
      </c>
      <c r="D110" s="8">
        <v>356</v>
      </c>
      <c r="E110" s="11" t="s">
        <v>12</v>
      </c>
    </row>
    <row r="111" spans="1:5" x14ac:dyDescent="0.25">
      <c r="A111" s="4">
        <v>1</v>
      </c>
      <c r="B111" t="str">
        <f>"ROLETE DE BORRACHA ABRIDOR MAQ. 1200 - 0360"</f>
        <v>ROLETE DE BORRACHA ABRIDOR MAQ. 1200 - 0360</v>
      </c>
      <c r="C111" t="str">
        <f>"25560360BG0"</f>
        <v>25560360BG0</v>
      </c>
      <c r="D111" s="7">
        <v>360</v>
      </c>
      <c r="E111" s="11" t="s">
        <v>12</v>
      </c>
    </row>
    <row r="112" spans="1:5" x14ac:dyDescent="0.25">
      <c r="A112" s="5">
        <v>4</v>
      </c>
      <c r="B112" s="6" t="str">
        <f>"ROLETE PARA PAPEL - MAQ 1000"</f>
        <v>ROLETE PARA PAPEL - MAQ 1000</v>
      </c>
      <c r="C112" s="6" t="str">
        <f>"25560363BE0"</f>
        <v>25560363BE0</v>
      </c>
      <c r="D112" s="8">
        <v>363</v>
      </c>
      <c r="E112" s="11" t="s">
        <v>12</v>
      </c>
    </row>
    <row r="113" spans="1:5" x14ac:dyDescent="0.25">
      <c r="A113" s="4">
        <v>4</v>
      </c>
      <c r="B113" t="str">
        <f>"ROLETE PARA PAPEL - MAQ 1000"</f>
        <v>ROLETE PARA PAPEL - MAQ 1000</v>
      </c>
      <c r="C113" t="str">
        <f>"25560366BE0"</f>
        <v>25560366BE0</v>
      </c>
      <c r="D113" s="7">
        <v>366</v>
      </c>
      <c r="E113" s="11" t="s">
        <v>12</v>
      </c>
    </row>
    <row r="114" spans="1:5" x14ac:dyDescent="0.25">
      <c r="A114" s="5">
        <v>2</v>
      </c>
      <c r="B114" s="6" t="str">
        <f>"ROLETE ABRIDOR DO ALINHADOR MAQ. 1000"</f>
        <v>ROLETE ABRIDOR DO ALINHADOR MAQ. 1000</v>
      </c>
      <c r="C114" s="6" t="str">
        <f>"25560904BE0"</f>
        <v>25560904BE0</v>
      </c>
      <c r="D114" s="8">
        <v>904</v>
      </c>
      <c r="E114" s="11" t="s">
        <v>12</v>
      </c>
    </row>
    <row r="115" spans="1:5" x14ac:dyDescent="0.25">
      <c r="A115" s="4">
        <v>2</v>
      </c>
      <c r="B115" t="str">
        <f>"ROLETE DO ALINHADOR MAQ. 1000"</f>
        <v>ROLETE DO ALINHADOR MAQ. 1000</v>
      </c>
      <c r="C115" t="str">
        <f>"25560905BE0"</f>
        <v>25560905BE0</v>
      </c>
      <c r="D115" s="7">
        <v>905</v>
      </c>
      <c r="E115" s="11" t="s">
        <v>12</v>
      </c>
    </row>
    <row r="116" spans="1:5" x14ac:dyDescent="0.25">
      <c r="A116" s="5">
        <v>9</v>
      </c>
      <c r="B116" s="6" t="str">
        <f>"ROLETE 4"" MAQ. 1000 - 1181"</f>
        <v>ROLETE 4" MAQ. 1000 - 1181</v>
      </c>
      <c r="C116" s="6" t="str">
        <f>"25561181ZE0"</f>
        <v>25561181ZE0</v>
      </c>
      <c r="D116" s="8">
        <v>1181</v>
      </c>
      <c r="E116" s="11" t="s">
        <v>12</v>
      </c>
    </row>
    <row r="117" spans="1:5" x14ac:dyDescent="0.25">
      <c r="A117" s="4">
        <v>1</v>
      </c>
      <c r="B117" t="str">
        <f>"ROLETE DE BORRACHA ABRIDOR MAQ. 1000 - 1182"</f>
        <v>ROLETE DE BORRACHA ABRIDOR MAQ. 1000 - 1182</v>
      </c>
      <c r="C117" t="str">
        <f>"25561182ZE0"</f>
        <v>25561182ZE0</v>
      </c>
      <c r="D117" s="7">
        <v>1182</v>
      </c>
      <c r="E117" s="11" t="s">
        <v>12</v>
      </c>
    </row>
    <row r="118" spans="1:5" x14ac:dyDescent="0.25">
      <c r="A118" s="5">
        <v>1</v>
      </c>
      <c r="B118" s="6" t="str">
        <f>"ROLETE 2"" MÁQ 1000 - 1235"</f>
        <v>ROLETE 2" MÁQ 1000 - 1235</v>
      </c>
      <c r="C118" s="6" t="str">
        <f>"25561235ZE0"</f>
        <v>25561235ZE0</v>
      </c>
      <c r="D118" s="8">
        <v>1235</v>
      </c>
      <c r="E118" s="11" t="s">
        <v>12</v>
      </c>
    </row>
    <row r="119" spans="1:5" x14ac:dyDescent="0.25">
      <c r="A119" s="4">
        <v>11</v>
      </c>
      <c r="B119" t="str">
        <f>"ROLETE 4"" MAQ. 1000 - 1236"</f>
        <v>ROLETE 4" MAQ. 1000 - 1236</v>
      </c>
      <c r="C119" t="str">
        <f>"25561236ZE0"</f>
        <v>25561236ZE0</v>
      </c>
      <c r="D119" s="7">
        <v>1236</v>
      </c>
      <c r="E119" s="11" t="s">
        <v>12</v>
      </c>
    </row>
    <row r="120" spans="1:5" x14ac:dyDescent="0.25">
      <c r="A120" s="5">
        <v>7</v>
      </c>
      <c r="B120" s="6" t="str">
        <f>"ROLETE 4"" MAQ. 1000 - 1237ZE0"</f>
        <v>ROLETE 4" MAQ. 1000 - 1237ZE0</v>
      </c>
      <c r="C120" s="6" t="str">
        <f>"25561237ZE0"</f>
        <v>25561237ZE0</v>
      </c>
      <c r="D120" s="8">
        <v>1237</v>
      </c>
      <c r="E120" s="11" t="s">
        <v>12</v>
      </c>
    </row>
    <row r="121" spans="1:5" x14ac:dyDescent="0.25">
      <c r="A121" s="4">
        <v>1</v>
      </c>
      <c r="B121" t="str">
        <f>"ROLO DE BORRACHA MAQ. 1000"</f>
        <v>ROLO DE BORRACHA MAQ. 1000</v>
      </c>
      <c r="C121" t="str">
        <f>"25580220BE0"</f>
        <v>25580220BE0</v>
      </c>
      <c r="D121" s="7">
        <v>220</v>
      </c>
      <c r="E121" s="11" t="s">
        <v>12</v>
      </c>
    </row>
    <row r="122" spans="1:5" x14ac:dyDescent="0.25">
      <c r="A122" s="5">
        <v>2</v>
      </c>
      <c r="B122" s="6" t="str">
        <f>"ROLO DE BORRACHA MAQ. 1000"</f>
        <v>ROLO DE BORRACHA MAQ. 1000</v>
      </c>
      <c r="C122" s="6" t="str">
        <f>"25580227BE0"</f>
        <v>25580227BE0</v>
      </c>
      <c r="D122" s="8">
        <v>227</v>
      </c>
      <c r="E122" s="11" t="s">
        <v>12</v>
      </c>
    </row>
    <row r="123" spans="1:5" x14ac:dyDescent="0.25">
      <c r="A123" s="4">
        <v>1</v>
      </c>
      <c r="B123" t="str">
        <f>"ROLO DE BORRACHA MAQ. 1000"</f>
        <v>ROLO DE BORRACHA MAQ. 1000</v>
      </c>
      <c r="C123" t="str">
        <f>"25581183ZE0"</f>
        <v>25581183ZE0</v>
      </c>
      <c r="D123" s="7">
        <v>1183</v>
      </c>
      <c r="E123" s="11" t="s">
        <v>12</v>
      </c>
    </row>
    <row r="124" spans="1:5" x14ac:dyDescent="0.25">
      <c r="A124" s="5">
        <v>1</v>
      </c>
      <c r="B124" s="6" t="str">
        <f>"SECAGEM FINAL ELETRICA MÁQ. 1000 - 1184"</f>
        <v>SECAGEM FINAL ELETRICA MÁQ. 1000 - 1184</v>
      </c>
      <c r="C124" s="6" t="str">
        <f>"25661184ZE0"</f>
        <v>25661184ZE0</v>
      </c>
      <c r="D124" s="8">
        <v>1184</v>
      </c>
      <c r="E124" s="11" t="s">
        <v>12</v>
      </c>
    </row>
    <row r="125" spans="1:5" x14ac:dyDescent="0.25">
      <c r="A125" s="4">
        <v>1</v>
      </c>
      <c r="B125" t="str">
        <f>"SECAGEM ENTRE CORES ELÉTRICA MÁQ. 1000 - 1186"</f>
        <v>SECAGEM ENTRE CORES ELÉTRICA MÁQ. 1000 - 1186</v>
      </c>
      <c r="C125" t="str">
        <f>"25661186ZE0"</f>
        <v>25661186ZE0</v>
      </c>
      <c r="D125" s="7">
        <v>1186</v>
      </c>
      <c r="E125" s="11" t="s">
        <v>12</v>
      </c>
    </row>
    <row r="126" spans="1:5" x14ac:dyDescent="0.25">
      <c r="A126" s="5">
        <v>8</v>
      </c>
      <c r="B126" s="6" t="str">
        <f>"SENSOR DE VISCOSIDADE"</f>
        <v>SENSOR DE VISCOSIDADE</v>
      </c>
      <c r="C126" s="6" t="str">
        <f>"25701014V01"</f>
        <v>25701014V01</v>
      </c>
      <c r="D126" s="8">
        <v>1014</v>
      </c>
      <c r="E126" s="11" t="s">
        <v>12</v>
      </c>
    </row>
    <row r="127" spans="1:5" x14ac:dyDescent="0.25">
      <c r="A127" s="4">
        <v>3</v>
      </c>
      <c r="B127" t="str">
        <f>"SISTEMA DE  CONDUÇÃO TINTA - 1204V01"</f>
        <v>SISTEMA DE  CONDUÇÃO TINTA - 1204V01</v>
      </c>
      <c r="C127" t="str">
        <f>"25771204V01"</f>
        <v>25771204V01</v>
      </c>
      <c r="D127" s="7">
        <v>1204</v>
      </c>
      <c r="E127" s="11" t="s">
        <v>12</v>
      </c>
    </row>
    <row r="128" spans="1:5" x14ac:dyDescent="0.25">
      <c r="A128" s="5">
        <v>3</v>
      </c>
      <c r="B128" s="6" t="str">
        <f>"SISTEMA DE  CONDUÇÃO TINTA - 1205V01"</f>
        <v>SISTEMA DE  CONDUÇÃO TINTA - 1205V01</v>
      </c>
      <c r="C128" s="6" t="str">
        <f>"25771205V01"</f>
        <v>25771205V01</v>
      </c>
      <c r="D128" s="8">
        <v>1205</v>
      </c>
      <c r="E128" s="11" t="s">
        <v>12</v>
      </c>
    </row>
    <row r="129" spans="1:5" x14ac:dyDescent="0.25">
      <c r="A129" s="4">
        <v>3</v>
      </c>
      <c r="B129" t="str">
        <f>"SISTEMA DE TINTAGEM ZETA 8 - (2 A 4 CORES) - MAQ 1000"</f>
        <v>SISTEMA DE TINTAGEM ZETA 8 - (2 A 4 CORES) - MAQ 1000</v>
      </c>
      <c r="C129" t="str">
        <f>"25771205V01ZE0"</f>
        <v>25771205V01ZE0</v>
      </c>
      <c r="D129" s="7">
        <v>1205</v>
      </c>
      <c r="E129" s="11" t="s">
        <v>12</v>
      </c>
    </row>
    <row r="130" spans="1:5" x14ac:dyDescent="0.25">
      <c r="A130" s="5">
        <v>3</v>
      </c>
      <c r="B130" s="6" t="str">
        <f>"SISTEMA DE TINTAGEM ZETA 8 - (5 A 7 CORES) - MAQ 1000"</f>
        <v>SISTEMA DE TINTAGEM ZETA 8 - (5 A 7 CORES) - MAQ 1000</v>
      </c>
      <c r="C130" s="6" t="str">
        <f>"25771205V02ZE0"</f>
        <v>25771205V02ZE0</v>
      </c>
      <c r="D130" s="8">
        <v>1205</v>
      </c>
      <c r="E130" s="11" t="s">
        <v>12</v>
      </c>
    </row>
    <row r="131" spans="1:5" x14ac:dyDescent="0.25">
      <c r="A131" s="4">
        <v>3</v>
      </c>
      <c r="B131" t="str">
        <f>"SISTEMA DE  ALIMENTAÇÃO DE AR PARA DOCTOR BLADE - 1208V01"</f>
        <v>SISTEMA DE  ALIMENTAÇÃO DE AR PARA DOCTOR BLADE - 1208V01</v>
      </c>
      <c r="C131" t="str">
        <f>"25771208V01"</f>
        <v>25771208V01</v>
      </c>
      <c r="D131" s="7">
        <v>1208</v>
      </c>
      <c r="E131" s="11" t="s">
        <v>12</v>
      </c>
    </row>
    <row r="132" spans="1:5" x14ac:dyDescent="0.25">
      <c r="A132" s="5">
        <v>3</v>
      </c>
      <c r="B132" s="6" t="str">
        <f>"SISTEMA DE  ALIMENTAÇÃO DE AR PARA DOCTOR BLADE - 1208V02"</f>
        <v>SISTEMA DE  ALIMENTAÇÃO DE AR PARA DOCTOR BLADE - 1208V02</v>
      </c>
      <c r="C132" s="6" t="str">
        <f>"25771208V02"</f>
        <v>25771208V02</v>
      </c>
      <c r="D132" s="8">
        <v>1208</v>
      </c>
      <c r="E132" s="11" t="s">
        <v>12</v>
      </c>
    </row>
    <row r="133" spans="1:5" x14ac:dyDescent="0.25">
      <c r="A133" s="4">
        <v>1</v>
      </c>
      <c r="B133" t="str">
        <f>"SISTEMA DE  ALIMENTAÇÃO DE AR PARA DOCTOR BLADE - 1208V03"</f>
        <v>SISTEMA DE  ALIMENTAÇÃO DE AR PARA DOCTOR BLADE - 1208V03</v>
      </c>
      <c r="C133" t="str">
        <f>"25771208V03"</f>
        <v>25771208V03</v>
      </c>
      <c r="D133" s="7">
        <v>1208</v>
      </c>
      <c r="E133" s="11" t="s">
        <v>12</v>
      </c>
    </row>
    <row r="134" spans="1:5" x14ac:dyDescent="0.25">
      <c r="A134" s="5">
        <v>1</v>
      </c>
      <c r="B134" s="6" t="str">
        <f>"SISTEMA DE  ALIMENTAÇÃO DE AR PARA DOCTOR BLADE - 1208V04"</f>
        <v>SISTEMA DE  ALIMENTAÇÃO DE AR PARA DOCTOR BLADE - 1208V04</v>
      </c>
      <c r="C134" s="6" t="str">
        <f>"25771208V04"</f>
        <v>25771208V04</v>
      </c>
      <c r="D134" s="8">
        <v>1208</v>
      </c>
      <c r="E134" s="11" t="s">
        <v>12</v>
      </c>
    </row>
    <row r="135" spans="1:5" x14ac:dyDescent="0.25">
      <c r="A135" s="4">
        <v>1</v>
      </c>
      <c r="B135" t="str">
        <f>"SISTEMA DE CONDUÇÃO DE TINTA - 1215V01"</f>
        <v>SISTEMA DE CONDUÇÃO DE TINTA - 1215V01</v>
      </c>
      <c r="C135" t="str">
        <f>"25771215V01"</f>
        <v>25771215V01</v>
      </c>
      <c r="D135" s="7">
        <v>1215</v>
      </c>
      <c r="E135" s="11" t="s">
        <v>12</v>
      </c>
    </row>
    <row r="136" spans="1:5" x14ac:dyDescent="0.25">
      <c r="A136" s="5">
        <v>1</v>
      </c>
      <c r="B136" s="6" t="str">
        <f>"SISTEMA DE CONDUÇÃO DE TINTA - 1216V01"</f>
        <v>SISTEMA DE CONDUÇÃO DE TINTA - 1216V01</v>
      </c>
      <c r="C136" s="6" t="str">
        <f>"25771216V01"</f>
        <v>25771216V01</v>
      </c>
      <c r="D136" s="8">
        <v>1216</v>
      </c>
      <c r="E136" s="11" t="s">
        <v>12</v>
      </c>
    </row>
    <row r="137" spans="1:5" x14ac:dyDescent="0.25">
      <c r="A137" s="4">
        <v>1</v>
      </c>
      <c r="B137" t="str">
        <f>"SISTEMA DE TINTAGEM ZETA 8 - (1 COR) - MAQ 1000"</f>
        <v>SISTEMA DE TINTAGEM ZETA 8 - (1 COR) - MAQ 1000</v>
      </c>
      <c r="C137" t="str">
        <f>"25771216V01ZE0"</f>
        <v>25771216V01ZE0</v>
      </c>
      <c r="D137" s="7">
        <v>1216</v>
      </c>
      <c r="E137" s="11" t="s">
        <v>12</v>
      </c>
    </row>
    <row r="138" spans="1:5" x14ac:dyDescent="0.25">
      <c r="A138" s="5">
        <v>1</v>
      </c>
      <c r="B138" s="6" t="str">
        <f>"SISTEMA DE TINTAGEM ZETA 8 - (8 COR) - MAQ 1000"</f>
        <v>SISTEMA DE TINTAGEM ZETA 8 - (8 COR) - MAQ 1000</v>
      </c>
      <c r="C138" s="6" t="str">
        <f>"25771216V02ZE0"</f>
        <v>25771216V02ZE0</v>
      </c>
      <c r="D138" s="8">
        <v>1216</v>
      </c>
      <c r="E138" s="11" t="s">
        <v>12</v>
      </c>
    </row>
    <row r="139" spans="1:5" x14ac:dyDescent="0.25">
      <c r="A139" s="4">
        <v>1</v>
      </c>
      <c r="B139" t="str">
        <f>"SISTEMA DE LIMPEZA 1ª a 4ª cores"</f>
        <v>SISTEMA DE LIMPEZA 1ª a 4ª cores</v>
      </c>
      <c r="C139" t="str">
        <f>"25771217"</f>
        <v>25771217</v>
      </c>
      <c r="D139" s="7">
        <v>1217</v>
      </c>
      <c r="E139" s="11" t="s">
        <v>12</v>
      </c>
    </row>
    <row r="140" spans="1:5" x14ac:dyDescent="0.25">
      <c r="A140" s="5">
        <v>1</v>
      </c>
      <c r="B140" s="6" t="str">
        <f>"SISTEMA DE LIMPEZA 5ª a 8ª cores"</f>
        <v>SISTEMA DE LIMPEZA 5ª a 8ª cores</v>
      </c>
      <c r="C140" s="6" t="str">
        <f>"25771218"</f>
        <v>25771218</v>
      </c>
      <c r="D140" s="8">
        <v>1218</v>
      </c>
      <c r="E140" s="11" t="s">
        <v>12</v>
      </c>
    </row>
    <row r="141" spans="1:5" x14ac:dyDescent="0.25">
      <c r="A141" s="4">
        <v>1</v>
      </c>
      <c r="B141" t="str">
        <f>"SISTEMA DE LIMPEZA 1ª a 8ª cores"</f>
        <v>SISTEMA DE LIMPEZA 1ª a 8ª cores</v>
      </c>
      <c r="C141" t="str">
        <f>"25771224"</f>
        <v>25771224</v>
      </c>
      <c r="D141" s="7">
        <v>1224</v>
      </c>
      <c r="E141" s="11" t="s">
        <v>12</v>
      </c>
    </row>
    <row r="142" spans="1:5" x14ac:dyDescent="0.25">
      <c r="A142" s="5">
        <v>1</v>
      </c>
      <c r="B142" s="6" t="str">
        <f>"TROCA AUTOMATICA DE SAIDA 1000 MM"</f>
        <v>TROCA AUTOMATICA DE SAIDA 1000 MM</v>
      </c>
      <c r="C142" s="6" t="str">
        <f>"26270004BE0"</f>
        <v>26270004BE0</v>
      </c>
      <c r="D142" s="8">
        <v>4</v>
      </c>
      <c r="E142" s="11" t="s">
        <v>12</v>
      </c>
    </row>
    <row r="143" spans="1:5" x14ac:dyDescent="0.25">
      <c r="A143" s="4">
        <v>1</v>
      </c>
      <c r="B143" t="str">
        <f>"TROCA AUTOMATICA DE ENTRADA MAQ. 1000"</f>
        <v>TROCA AUTOMATICA DE ENTRADA MAQ. 1000</v>
      </c>
      <c r="C143" t="str">
        <f>"26290003BE0"</f>
        <v>26290003BE0</v>
      </c>
      <c r="D143" s="7">
        <v>3</v>
      </c>
      <c r="E143" s="11" t="s">
        <v>12</v>
      </c>
    </row>
    <row r="144" spans="1:5" x14ac:dyDescent="0.25">
      <c r="A144" s="5">
        <v>2</v>
      </c>
      <c r="B144" s="6" t="str">
        <f>"TUBO DO RETORNO"</f>
        <v>TUBO DO RETORNO</v>
      </c>
      <c r="C144" s="6" t="str">
        <f>"26311225"</f>
        <v>26311225</v>
      </c>
      <c r="D144" s="8">
        <v>1225</v>
      </c>
      <c r="E144" s="11" t="s">
        <v>12</v>
      </c>
    </row>
    <row r="145" spans="1:5" x14ac:dyDescent="0.25">
      <c r="A145" s="4">
        <v>2</v>
      </c>
      <c r="B145" t="str">
        <f>"TUBO DE IDA SOLVENTE"</f>
        <v>TUBO DE IDA SOLVENTE</v>
      </c>
      <c r="C145" t="str">
        <f>"26311226"</f>
        <v>26311226</v>
      </c>
      <c r="D145" s="7">
        <v>1226</v>
      </c>
      <c r="E145" s="11" t="s">
        <v>12</v>
      </c>
    </row>
    <row r="146" spans="1:5" x14ac:dyDescent="0.25">
      <c r="A146" s="5">
        <v>2</v>
      </c>
      <c r="B146" s="6" t="str">
        <f>"TUBO DO RETORNO DESCARTE"</f>
        <v>TUBO DO RETORNO DESCARTE</v>
      </c>
      <c r="C146" s="6" t="str">
        <f>"26311231"</f>
        <v>26311231</v>
      </c>
      <c r="D146" s="8">
        <v>1231</v>
      </c>
      <c r="E146" s="11" t="s">
        <v>12</v>
      </c>
    </row>
    <row r="147" spans="1:5" x14ac:dyDescent="0.25">
      <c r="A147" s="4">
        <v>2</v>
      </c>
      <c r="B147" t="str">
        <f>"TUBO DDE IDA SOLVENTE LIMPO"</f>
        <v>TUBO DDE IDA SOLVENTE LIMPO</v>
      </c>
      <c r="C147" t="str">
        <f>"26311232"</f>
        <v>26311232</v>
      </c>
      <c r="D147" s="7">
        <v>1232</v>
      </c>
      <c r="E147" s="11" t="s">
        <v>12</v>
      </c>
    </row>
    <row r="148" spans="1:5" x14ac:dyDescent="0.25">
      <c r="A148" s="5">
        <v>8</v>
      </c>
      <c r="B148" s="6" t="str">
        <f>"VALVULA DO LAVADOR - 0960V01"</f>
        <v>VALVULA DO LAVADOR - 0960V01</v>
      </c>
      <c r="C148" s="6" t="str">
        <f>"26390960V01"</f>
        <v>26390960V01</v>
      </c>
      <c r="D148" s="8">
        <v>960</v>
      </c>
      <c r="E148" s="11" t="s">
        <v>12</v>
      </c>
    </row>
    <row r="149" spans="1:5" x14ac:dyDescent="0.25">
      <c r="A149" s="4">
        <v>8</v>
      </c>
      <c r="B149" t="str">
        <f>"VALVULA DO LAVADOR - 0961V01"</f>
        <v>VALVULA DO LAVADOR - 0961V01</v>
      </c>
      <c r="C149" t="str">
        <f>"26390961V01"</f>
        <v>26390961V01</v>
      </c>
      <c r="D149" s="7">
        <v>961</v>
      </c>
      <c r="E149" s="11" t="s">
        <v>12</v>
      </c>
    </row>
    <row r="150" spans="1:5" x14ac:dyDescent="0.25">
      <c r="A150" s="5">
        <v>8</v>
      </c>
      <c r="B150" s="6" t="str">
        <f>"VALVULA DE INVERSÃO"</f>
        <v>VALVULA DE INVERSÃO</v>
      </c>
      <c r="C150" s="6" t="str">
        <f>"26391016"</f>
        <v>26391016</v>
      </c>
      <c r="D150" s="8">
        <v>1016</v>
      </c>
      <c r="E150" s="11" t="s">
        <v>12</v>
      </c>
    </row>
    <row r="151" spans="1:5" x14ac:dyDescent="0.25">
      <c r="A151" s="4">
        <v>1</v>
      </c>
      <c r="B151" t="str">
        <f>"VENTILADOR 40 ESQUERDO - 0900"</f>
        <v>VENTILADOR 40 ESQUERDO - 0900</v>
      </c>
      <c r="C151" t="str">
        <f>"26410900"</f>
        <v>26410900</v>
      </c>
      <c r="D151" s="7">
        <v>900</v>
      </c>
      <c r="E151" s="11" t="s">
        <v>12</v>
      </c>
    </row>
    <row r="152" spans="1:5" x14ac:dyDescent="0.25">
      <c r="A152" s="5">
        <v>1</v>
      </c>
      <c r="B152" s="6" t="str">
        <f>"VENTILADOR 40 ESQUERDO - 0900V01"</f>
        <v>VENTILADOR 40 ESQUERDO - 0900V01</v>
      </c>
      <c r="C152" s="6" t="str">
        <f>"26410900V01"</f>
        <v>26410900V01</v>
      </c>
      <c r="D152" s="8">
        <v>900</v>
      </c>
      <c r="E152" s="11" t="s">
        <v>12</v>
      </c>
    </row>
    <row r="153" spans="1:5" x14ac:dyDescent="0.25">
      <c r="A153" s="4">
        <v>1</v>
      </c>
      <c r="B153" t="str">
        <f>"VENTILADOR 40 ESQUERDO - 0900V02"</f>
        <v>VENTILADOR 40 ESQUERDO - 0900V02</v>
      </c>
      <c r="C153" t="str">
        <f>"26410900V02"</f>
        <v>26410900V02</v>
      </c>
      <c r="D153" s="7">
        <v>900</v>
      </c>
      <c r="E153" s="11" t="s">
        <v>12</v>
      </c>
    </row>
    <row r="154" spans="1:5" x14ac:dyDescent="0.25">
      <c r="A154" s="5">
        <v>1</v>
      </c>
      <c r="B154" s="6" t="str">
        <f>"VENTILADOR 45 ESQUERDO"</f>
        <v>VENTILADOR 45 ESQUERDO</v>
      </c>
      <c r="C154" s="6" t="str">
        <f>"26410901"</f>
        <v>26410901</v>
      </c>
      <c r="D154" s="8">
        <v>901</v>
      </c>
      <c r="E154" s="11" t="s">
        <v>12</v>
      </c>
    </row>
    <row r="155" spans="1:5" x14ac:dyDescent="0.25">
      <c r="A155" s="4">
        <v>6</v>
      </c>
      <c r="B155" t="str">
        <f>"ABRAÇADEIRA TUBO 80"</f>
        <v>ABRAÇADEIRA TUBO 80</v>
      </c>
      <c r="C155" t="str">
        <f>"31052669"</f>
        <v>31052669</v>
      </c>
      <c r="D155" s="9">
        <v>2669</v>
      </c>
      <c r="E155" s="12" t="s">
        <v>13</v>
      </c>
    </row>
    <row r="156" spans="1:5" x14ac:dyDescent="0.25">
      <c r="A156" s="5">
        <v>2</v>
      </c>
      <c r="B156" s="6" t="str">
        <f>"ACOPLAMENTO - 2566"</f>
        <v>ACOPLAMENTO - 2566</v>
      </c>
      <c r="C156" s="6" t="str">
        <f>"31092566"</f>
        <v>31092566</v>
      </c>
      <c r="D156" s="10">
        <v>2566</v>
      </c>
      <c r="E156" s="12" t="s">
        <v>13</v>
      </c>
    </row>
    <row r="157" spans="1:5" x14ac:dyDescent="0.25">
      <c r="A157" s="4">
        <v>8</v>
      </c>
      <c r="B157" t="str">
        <f>"ACOPLAMENTO DE FOLE SOLDADO - R+W BKL-150 - Ø32 - Ø38 - RETR"</f>
        <v>ACOPLAMENTO DE FOLE SOLDADO - R+W BKL-150 - Ø32 - Ø38 - RETR</v>
      </c>
      <c r="C157" t="str">
        <f>"31098388"</f>
        <v>31098388</v>
      </c>
      <c r="D157" s="9">
        <v>8388</v>
      </c>
      <c r="E157" s="12" t="s">
        <v>13</v>
      </c>
    </row>
    <row r="158" spans="1:5" x14ac:dyDescent="0.25">
      <c r="A158" s="5">
        <v>2</v>
      </c>
      <c r="B158" s="6" t="str">
        <f>"ANEL ESPAÇADOR - 0252"</f>
        <v>ANEL ESPAÇADOR - 0252</v>
      </c>
      <c r="C158" s="6" t="str">
        <f>"31210252"</f>
        <v>31210252</v>
      </c>
      <c r="D158" s="10">
        <v>252</v>
      </c>
      <c r="E158" s="12" t="s">
        <v>13</v>
      </c>
    </row>
    <row r="159" spans="1:5" x14ac:dyDescent="0.25">
      <c r="A159" s="4">
        <v>1</v>
      </c>
      <c r="B159" t="str">
        <f>"ANEL DE APOIO - 1742"</f>
        <v>ANEL DE APOIO - 1742</v>
      </c>
      <c r="C159" t="str">
        <f>"31211742"</f>
        <v>31211742</v>
      </c>
      <c r="D159" s="9">
        <v>1742</v>
      </c>
      <c r="E159" s="12" t="s">
        <v>13</v>
      </c>
    </row>
    <row r="160" spans="1:5" x14ac:dyDescent="0.25">
      <c r="A160" s="5">
        <v>16</v>
      </c>
      <c r="B160" s="6" t="str">
        <f>"ANEL DE ENCOSTO - 1902"</f>
        <v>ANEL DE ENCOSTO - 1902</v>
      </c>
      <c r="C160" s="6" t="str">
        <f>"31211902"</f>
        <v>31211902</v>
      </c>
      <c r="D160" s="10">
        <v>1902</v>
      </c>
      <c r="E160" s="12" t="s">
        <v>13</v>
      </c>
    </row>
    <row r="161" spans="1:5" x14ac:dyDescent="0.25">
      <c r="A161" s="4">
        <v>8</v>
      </c>
      <c r="B161" t="str">
        <f>"ANEL ESPAÇADOR - 2084"</f>
        <v>ANEL ESPAÇADOR - 2084</v>
      </c>
      <c r="C161" t="str">
        <f>"31212084"</f>
        <v>31212084</v>
      </c>
      <c r="D161" s="9">
        <v>2084</v>
      </c>
      <c r="E161" s="12" t="s">
        <v>13</v>
      </c>
    </row>
    <row r="162" spans="1:5" x14ac:dyDescent="0.25">
      <c r="A162" s="5">
        <v>2</v>
      </c>
      <c r="B162" s="6" t="str">
        <f>"ANEL ANTI GIRO"</f>
        <v>ANEL ANTI GIRO</v>
      </c>
      <c r="C162" s="6" t="str">
        <f>"31212569"</f>
        <v>31212569</v>
      </c>
      <c r="D162" s="10">
        <v>2569</v>
      </c>
      <c r="E162" s="12" t="s">
        <v>13</v>
      </c>
    </row>
    <row r="163" spans="1:5" x14ac:dyDescent="0.25">
      <c r="A163" s="4">
        <v>48</v>
      </c>
      <c r="B163" t="str">
        <f>"ANEL DE VEDAÇÃO EM VITON DUREZA 60 ± 5 SH. A"</f>
        <v>ANEL DE VEDAÇÃO EM VITON DUREZA 60 ± 5 SH. A</v>
      </c>
      <c r="C163" t="str">
        <f>"31215472"</f>
        <v>31215472</v>
      </c>
      <c r="D163" s="9">
        <v>5472</v>
      </c>
      <c r="E163" s="12" t="s">
        <v>13</v>
      </c>
    </row>
    <row r="164" spans="1:5" x14ac:dyDescent="0.25">
      <c r="A164" s="5">
        <v>2</v>
      </c>
      <c r="B164" s="6" t="str">
        <f>"ANEL DE APOIO - 8105"</f>
        <v>ANEL DE APOIO - 8105</v>
      </c>
      <c r="C164" s="6" t="str">
        <f>"31218105"</f>
        <v>31218105</v>
      </c>
      <c r="D164" s="10">
        <v>8105</v>
      </c>
      <c r="E164" s="12" t="s">
        <v>13</v>
      </c>
    </row>
    <row r="165" spans="1:5" x14ac:dyDescent="0.25">
      <c r="A165" s="4">
        <v>1</v>
      </c>
      <c r="B165" t="str">
        <f>"ARMARIO ARMACAO DE TUBOS"</f>
        <v>ARMARIO ARMACAO DE TUBOS</v>
      </c>
      <c r="C165" t="str">
        <f>"31318180"</f>
        <v>31318180</v>
      </c>
      <c r="D165" s="9">
        <v>8180</v>
      </c>
      <c r="E165" s="12" t="s">
        <v>13</v>
      </c>
    </row>
    <row r="166" spans="1:5" x14ac:dyDescent="0.25">
      <c r="A166" s="5">
        <v>1</v>
      </c>
      <c r="B166" s="6" t="str">
        <f>"ARMARIO SUPORTES"</f>
        <v>ARMARIO SUPORTES</v>
      </c>
      <c r="C166" s="6" t="str">
        <f>"31318181"</f>
        <v>31318181</v>
      </c>
      <c r="D166" s="10">
        <v>8181</v>
      </c>
      <c r="E166" s="12" t="s">
        <v>13</v>
      </c>
    </row>
    <row r="167" spans="1:5" x14ac:dyDescent="0.25">
      <c r="A167" s="4">
        <v>1</v>
      </c>
      <c r="B167" t="str">
        <f>"ARMARIO DO PAINEL DE COMANDO -8350"</f>
        <v>ARMARIO DO PAINEL DE COMANDO -8350</v>
      </c>
      <c r="C167" t="str">
        <f>"31318350"</f>
        <v>31318350</v>
      </c>
      <c r="D167" s="9">
        <v>8350</v>
      </c>
      <c r="E167" s="12" t="s">
        <v>13</v>
      </c>
    </row>
    <row r="168" spans="1:5" x14ac:dyDescent="0.25">
      <c r="A168" s="5">
        <v>10</v>
      </c>
      <c r="B168" s="6" t="str">
        <f>"ARRUELA - 0030"</f>
        <v>ARRUELA - 0030</v>
      </c>
      <c r="C168" s="6" t="str">
        <f>"31330030"</f>
        <v>31330030</v>
      </c>
      <c r="D168" s="10">
        <v>30</v>
      </c>
      <c r="E168" s="12" t="s">
        <v>13</v>
      </c>
    </row>
    <row r="169" spans="1:5" x14ac:dyDescent="0.25">
      <c r="A169" s="4">
        <v>4</v>
      </c>
      <c r="B169" t="str">
        <f>"ARRUELA - 0918"</f>
        <v>ARRUELA - 0918</v>
      </c>
      <c r="C169" t="str">
        <f>"31330918"</f>
        <v>31330918</v>
      </c>
      <c r="D169" s="9">
        <v>918</v>
      </c>
      <c r="E169" s="12" t="s">
        <v>13</v>
      </c>
    </row>
    <row r="170" spans="1:5" x14ac:dyDescent="0.25">
      <c r="A170" s="5">
        <v>16</v>
      </c>
      <c r="B170" s="6" t="str">
        <f>"ARRUELA DO EIXO"</f>
        <v>ARRUELA DO EIXO</v>
      </c>
      <c r="C170" s="6" t="str">
        <f>"31331903"</f>
        <v>31331903</v>
      </c>
      <c r="D170" s="10">
        <v>1903</v>
      </c>
      <c r="E170" s="12" t="s">
        <v>13</v>
      </c>
    </row>
    <row r="171" spans="1:5" x14ac:dyDescent="0.25">
      <c r="A171" s="4">
        <v>3</v>
      </c>
      <c r="B171" t="str">
        <f>"ARRUELA - 2299"</f>
        <v>ARRUELA - 2299</v>
      </c>
      <c r="C171" t="str">
        <f>"31332299"</f>
        <v>31332299</v>
      </c>
      <c r="D171" s="9">
        <v>2299</v>
      </c>
      <c r="E171" s="12" t="s">
        <v>13</v>
      </c>
    </row>
    <row r="172" spans="1:5" x14ac:dyDescent="0.25">
      <c r="A172" s="5">
        <v>2</v>
      </c>
      <c r="B172" s="6" t="str">
        <f>"ARRUELA - 2885"</f>
        <v>ARRUELA - 2885</v>
      </c>
      <c r="C172" s="6" t="str">
        <f>"31332885"</f>
        <v>31332885</v>
      </c>
      <c r="D172" s="10">
        <v>2885</v>
      </c>
      <c r="E172" s="12" t="s">
        <v>13</v>
      </c>
    </row>
    <row r="173" spans="1:5" x14ac:dyDescent="0.25">
      <c r="A173" s="4">
        <v>4</v>
      </c>
      <c r="B173" t="str">
        <f>"ARRUELA - 3993"</f>
        <v>ARRUELA - 3993</v>
      </c>
      <c r="C173" t="str">
        <f>"31333993"</f>
        <v>31333993</v>
      </c>
      <c r="D173" s="9">
        <v>3993</v>
      </c>
      <c r="E173" s="12" t="s">
        <v>13</v>
      </c>
    </row>
    <row r="174" spans="1:5" x14ac:dyDescent="0.25">
      <c r="A174" s="5">
        <v>2</v>
      </c>
      <c r="B174" s="6" t="str">
        <f>"ARRUELA - 5147"</f>
        <v>ARRUELA - 5147</v>
      </c>
      <c r="C174" s="6" t="str">
        <f>"31335147"</f>
        <v>31335147</v>
      </c>
      <c r="D174" s="10">
        <v>5147</v>
      </c>
      <c r="E174" s="12" t="s">
        <v>13</v>
      </c>
    </row>
    <row r="175" spans="1:5" x14ac:dyDescent="0.25">
      <c r="A175" s="4">
        <v>4</v>
      </c>
      <c r="B175" t="str">
        <f>"ARRUELA DO CONTRA-PESO"</f>
        <v>ARRUELA DO CONTRA-PESO</v>
      </c>
      <c r="C175" t="str">
        <f>"31335212"</f>
        <v>31335212</v>
      </c>
      <c r="D175" s="9">
        <v>5212</v>
      </c>
      <c r="E175" s="12" t="s">
        <v>13</v>
      </c>
    </row>
    <row r="176" spans="1:5" x14ac:dyDescent="0.25">
      <c r="A176" s="5">
        <v>2</v>
      </c>
      <c r="B176" s="6" t="str">
        <f>"ARRUELA DA HASTE"</f>
        <v>ARRUELA DA HASTE</v>
      </c>
      <c r="C176" s="6" t="str">
        <f>"31335290"</f>
        <v>31335290</v>
      </c>
      <c r="D176" s="10">
        <v>5290</v>
      </c>
      <c r="E176" s="12" t="s">
        <v>13</v>
      </c>
    </row>
    <row r="177" spans="1:5" x14ac:dyDescent="0.25">
      <c r="A177" s="4">
        <v>2</v>
      </c>
      <c r="B177" t="str">
        <f>"ARRUELA"</f>
        <v>ARRUELA</v>
      </c>
      <c r="C177" t="str">
        <f>"31336334"</f>
        <v>31336334</v>
      </c>
      <c r="D177" s="9">
        <v>6334</v>
      </c>
      <c r="E177" s="12" t="s">
        <v>13</v>
      </c>
    </row>
    <row r="178" spans="1:5" x14ac:dyDescent="0.25">
      <c r="A178" s="5">
        <v>2</v>
      </c>
      <c r="B178" s="6" t="str">
        <f>"ASSENTO DA SOLEIRA"</f>
        <v>ASSENTO DA SOLEIRA</v>
      </c>
      <c r="C178" s="6" t="str">
        <f>"31375639"</f>
        <v>31375639</v>
      </c>
      <c r="D178" s="10">
        <v>5639</v>
      </c>
      <c r="E178" s="12" t="s">
        <v>13</v>
      </c>
    </row>
    <row r="179" spans="1:5" x14ac:dyDescent="0.25">
      <c r="A179" s="4">
        <v>4</v>
      </c>
      <c r="B179" t="str">
        <f>"BANDEJA - 2570"</f>
        <v>BANDEJA - 2570</v>
      </c>
      <c r="C179" t="str">
        <f>"31402570"</f>
        <v>31402570</v>
      </c>
      <c r="D179" s="9">
        <v>2570</v>
      </c>
      <c r="E179" s="12" t="s">
        <v>13</v>
      </c>
    </row>
    <row r="180" spans="1:5" x14ac:dyDescent="0.25">
      <c r="A180" s="5">
        <v>1</v>
      </c>
      <c r="B180" s="6" t="str">
        <f>"BANDEJA - 6128"</f>
        <v>BANDEJA - 6128</v>
      </c>
      <c r="C180" s="6" t="str">
        <f>"31406128"</f>
        <v>31406128</v>
      </c>
      <c r="D180" s="10">
        <v>6128</v>
      </c>
      <c r="E180" s="12" t="s">
        <v>13</v>
      </c>
    </row>
    <row r="181" spans="1:5" x14ac:dyDescent="0.25">
      <c r="A181" s="4">
        <v>1</v>
      </c>
      <c r="B181" t="str">
        <f>"BANDEJA - 6129"</f>
        <v>BANDEJA - 6129</v>
      </c>
      <c r="C181" t="str">
        <f>"31406129"</f>
        <v>31406129</v>
      </c>
      <c r="D181" s="9">
        <v>6129</v>
      </c>
      <c r="E181" s="12" t="s">
        <v>13</v>
      </c>
    </row>
    <row r="182" spans="1:5" x14ac:dyDescent="0.25">
      <c r="A182" s="5">
        <v>8</v>
      </c>
      <c r="B182" s="6" t="str">
        <f>"BALDE DE TINTA  de 5 litros"</f>
        <v>BALDE DE TINTA  de 5 litros</v>
      </c>
      <c r="C182" s="6" t="str">
        <f>"31430008"</f>
        <v>31430008</v>
      </c>
      <c r="D182" s="10">
        <v>8</v>
      </c>
      <c r="E182" s="12" t="s">
        <v>13</v>
      </c>
    </row>
    <row r="183" spans="1:5" x14ac:dyDescent="0.25">
      <c r="A183" s="4">
        <v>4</v>
      </c>
      <c r="B183" t="str">
        <f>"BALDE (18 LITROS)"</f>
        <v>BALDE (18 LITROS)</v>
      </c>
      <c r="C183" t="str">
        <f>"31430040"</f>
        <v>31430040</v>
      </c>
      <c r="D183" s="9">
        <v>40</v>
      </c>
      <c r="E183" s="12" t="s">
        <v>13</v>
      </c>
    </row>
    <row r="184" spans="1:5" x14ac:dyDescent="0.25">
      <c r="A184" s="5">
        <v>4</v>
      </c>
      <c r="B184" s="6" t="str">
        <f>"BARRA DE PROTECAO"</f>
        <v>BARRA DE PROTECAO</v>
      </c>
      <c r="C184" s="6" t="str">
        <f>"31442118"</f>
        <v>31442118</v>
      </c>
      <c r="D184" s="10">
        <v>2118</v>
      </c>
      <c r="E184" s="12" t="s">
        <v>13</v>
      </c>
    </row>
    <row r="185" spans="1:5" x14ac:dyDescent="0.25">
      <c r="A185" s="4">
        <v>4</v>
      </c>
      <c r="B185" t="str">
        <f>"BARRA ROSCADA"</f>
        <v>BARRA ROSCADA</v>
      </c>
      <c r="C185" t="str">
        <f>"31445241"</f>
        <v>31445241</v>
      </c>
      <c r="D185" s="9">
        <v>5241</v>
      </c>
      <c r="E185" s="12" t="s">
        <v>13</v>
      </c>
    </row>
    <row r="186" spans="1:5" x14ac:dyDescent="0.25">
      <c r="A186" s="5">
        <v>2</v>
      </c>
      <c r="B186" s="6" t="str">
        <f>"BARRA SUPORTE MAQ 1000"</f>
        <v>BARRA SUPORTE MAQ 1000</v>
      </c>
      <c r="C186" s="6" t="str">
        <f>"31445501BE0"</f>
        <v>31445501BE0</v>
      </c>
      <c r="D186" s="10">
        <v>5501</v>
      </c>
      <c r="E186" s="12" t="s">
        <v>13</v>
      </c>
    </row>
    <row r="187" spans="1:5" x14ac:dyDescent="0.25">
      <c r="A187" s="4">
        <v>1</v>
      </c>
      <c r="B187" t="str">
        <f>"BARRA ROSCADA M10 6036"</f>
        <v>BARRA ROSCADA M10 6036</v>
      </c>
      <c r="C187" t="str">
        <f>"31446036"</f>
        <v>31446036</v>
      </c>
      <c r="D187" s="9">
        <v>6036</v>
      </c>
      <c r="E187" s="12" t="s">
        <v>13</v>
      </c>
    </row>
    <row r="188" spans="1:5" x14ac:dyDescent="0.25">
      <c r="A188" s="5">
        <v>3</v>
      </c>
      <c r="B188" s="6" t="str">
        <f>"BARRA DO ALINHADOR 6044"</f>
        <v>BARRA DO ALINHADOR 6044</v>
      </c>
      <c r="C188" s="6" t="str">
        <f>"31446044BE0V01"</f>
        <v>31446044BE0V01</v>
      </c>
      <c r="D188" s="10">
        <v>6044</v>
      </c>
      <c r="E188" s="12" t="s">
        <v>13</v>
      </c>
    </row>
    <row r="189" spans="1:5" x14ac:dyDescent="0.25">
      <c r="A189" s="4">
        <v>3</v>
      </c>
      <c r="B189" t="str">
        <f>"BARRAMENTO ELÉTRICO - 6110"</f>
        <v>BARRAMENTO ELÉTRICO - 6110</v>
      </c>
      <c r="C189" t="str">
        <f>"31446110"</f>
        <v>31446110</v>
      </c>
      <c r="D189" s="9">
        <v>6110</v>
      </c>
      <c r="E189" s="12" t="s">
        <v>13</v>
      </c>
    </row>
    <row r="190" spans="1:5" x14ac:dyDescent="0.25">
      <c r="A190" s="5">
        <v>1</v>
      </c>
      <c r="B190" s="6" t="str">
        <f>"BARRAMENTO ELÉTRICO - 6111"</f>
        <v>BARRAMENTO ELÉTRICO - 6111</v>
      </c>
      <c r="C190" s="6" t="str">
        <f>"31446111"</f>
        <v>31446111</v>
      </c>
      <c r="D190" s="10">
        <v>6111</v>
      </c>
      <c r="E190" s="12" t="s">
        <v>13</v>
      </c>
    </row>
    <row r="191" spans="1:5" x14ac:dyDescent="0.25">
      <c r="A191" s="4">
        <v>3</v>
      </c>
      <c r="B191" t="str">
        <f>"BARRAMENTO ELÉTRICO - 6112"</f>
        <v>BARRAMENTO ELÉTRICO - 6112</v>
      </c>
      <c r="C191" t="str">
        <f>"31446112"</f>
        <v>31446112</v>
      </c>
      <c r="D191" s="9">
        <v>6112</v>
      </c>
      <c r="E191" s="12" t="s">
        <v>13</v>
      </c>
    </row>
    <row r="192" spans="1:5" x14ac:dyDescent="0.25">
      <c r="A192" s="5">
        <v>1</v>
      </c>
      <c r="B192" s="6" t="str">
        <f>"BARRA DE PROTEÇÃO MÁQ 1000 - 8222"</f>
        <v>BARRA DE PROTEÇÃO MÁQ 1000 - 8222</v>
      </c>
      <c r="C192" s="6" t="str">
        <f>"31448222ZE0"</f>
        <v>31448222ZE0</v>
      </c>
      <c r="D192" s="10">
        <v>8222</v>
      </c>
      <c r="E192" s="12" t="s">
        <v>13</v>
      </c>
    </row>
    <row r="193" spans="1:5" x14ac:dyDescent="0.25">
      <c r="A193" s="4">
        <v>1</v>
      </c>
      <c r="B193" t="str">
        <f>"BARRA DE PROTEÇÃO - 8303ZE0"</f>
        <v>BARRA DE PROTEÇÃO - 8303ZE0</v>
      </c>
      <c r="C193" t="str">
        <f>"31448303ZE0"</f>
        <v>31448303ZE0</v>
      </c>
      <c r="D193" s="9">
        <v>8303</v>
      </c>
      <c r="E193" s="12" t="s">
        <v>13</v>
      </c>
    </row>
    <row r="194" spans="1:5" x14ac:dyDescent="0.25">
      <c r="A194" s="5">
        <v>3</v>
      </c>
      <c r="B194" s="6" t="str">
        <f>"BARRA PERFIL DE ALUMINIO -8353"</f>
        <v>BARRA PERFIL DE ALUMINIO -8353</v>
      </c>
      <c r="C194" s="6" t="str">
        <f>"31448353"</f>
        <v>31448353</v>
      </c>
      <c r="D194" s="10">
        <v>8353</v>
      </c>
      <c r="E194" s="12" t="s">
        <v>13</v>
      </c>
    </row>
    <row r="195" spans="1:5" x14ac:dyDescent="0.25">
      <c r="A195" s="4">
        <v>8</v>
      </c>
      <c r="B195" t="str">
        <f>"BASE NIVELADORA - 0182"</f>
        <v>BASE NIVELADORA - 0182</v>
      </c>
      <c r="C195" t="str">
        <f>"31480182"</f>
        <v>31480182</v>
      </c>
      <c r="D195" s="9">
        <v>182</v>
      </c>
      <c r="E195" s="12" t="s">
        <v>13</v>
      </c>
    </row>
    <row r="196" spans="1:5" x14ac:dyDescent="0.25">
      <c r="A196" s="5">
        <v>24</v>
      </c>
      <c r="B196" s="6" t="str">
        <f>"BASE NIVELADORA - 0324"</f>
        <v>BASE NIVELADORA - 0324</v>
      </c>
      <c r="C196" s="6" t="str">
        <f>"31480324"</f>
        <v>31480324</v>
      </c>
      <c r="D196" s="10">
        <v>324</v>
      </c>
      <c r="E196" s="12" t="s">
        <v>13</v>
      </c>
    </row>
    <row r="197" spans="1:5" x14ac:dyDescent="0.25">
      <c r="A197" s="4">
        <v>16</v>
      </c>
      <c r="B197" t="str">
        <f>"BASE DO PINO DA ROLDANA"</f>
        <v>BASE DO PINO DA ROLDANA</v>
      </c>
      <c r="C197" t="str">
        <f>"31481904"</f>
        <v>31481904</v>
      </c>
      <c r="D197" s="9">
        <v>1904</v>
      </c>
      <c r="E197" s="12" t="s">
        <v>13</v>
      </c>
    </row>
    <row r="198" spans="1:5" x14ac:dyDescent="0.25">
      <c r="A198" s="5">
        <v>16</v>
      </c>
      <c r="B198" s="6" t="str">
        <f>"BASE DO PATIN"</f>
        <v>BASE DO PATIN</v>
      </c>
      <c r="C198" s="6" t="str">
        <f>"31482088"</f>
        <v>31482088</v>
      </c>
      <c r="D198" s="10">
        <v>2088</v>
      </c>
      <c r="E198" s="12" t="s">
        <v>13</v>
      </c>
    </row>
    <row r="199" spans="1:5" x14ac:dyDescent="0.25">
      <c r="A199" s="4">
        <v>1</v>
      </c>
      <c r="B199" t="str">
        <f>"BASE DA MESA"</f>
        <v>BASE DA MESA</v>
      </c>
      <c r="C199" t="str">
        <f>"31482180"</f>
        <v>31482180</v>
      </c>
      <c r="D199" s="9">
        <v>2180</v>
      </c>
      <c r="E199" s="12" t="s">
        <v>13</v>
      </c>
    </row>
    <row r="200" spans="1:5" x14ac:dyDescent="0.25">
      <c r="A200" s="5">
        <v>8</v>
      </c>
      <c r="B200" s="6" t="str">
        <f>"BASE NIVELADORA - 5587"</f>
        <v>BASE NIVELADORA - 5587</v>
      </c>
      <c r="C200" s="6" t="str">
        <f>"31485587"</f>
        <v>31485587</v>
      </c>
      <c r="D200" s="10">
        <v>5587</v>
      </c>
      <c r="E200" s="12" t="s">
        <v>13</v>
      </c>
    </row>
    <row r="201" spans="1:5" x14ac:dyDescent="0.25">
      <c r="A201" s="4">
        <v>40</v>
      </c>
      <c r="B201" t="str">
        <f>"BASE"</f>
        <v>BASE</v>
      </c>
      <c r="C201" t="str">
        <f>"31486003"</f>
        <v>31486003</v>
      </c>
      <c r="D201" s="9">
        <v>6003</v>
      </c>
      <c r="E201" s="12" t="s">
        <v>13</v>
      </c>
    </row>
    <row r="202" spans="1:5" x14ac:dyDescent="0.25">
      <c r="A202" s="5">
        <v>8</v>
      </c>
      <c r="B202" s="6" t="str">
        <f>"BASE"</f>
        <v>BASE</v>
      </c>
      <c r="C202" s="6" t="str">
        <f>"31486004"</f>
        <v>31486004</v>
      </c>
      <c r="D202" s="10">
        <v>6004</v>
      </c>
      <c r="E202" s="12" t="s">
        <v>13</v>
      </c>
    </row>
    <row r="203" spans="1:5" x14ac:dyDescent="0.25">
      <c r="A203" s="4">
        <v>1</v>
      </c>
      <c r="B203" t="str">
        <f>"BASE DO MOTOR DE 6 CV - 6037"</f>
        <v>BASE DO MOTOR DE 6 CV - 6037</v>
      </c>
      <c r="C203" t="str">
        <f>"31486037"</f>
        <v>31486037</v>
      </c>
      <c r="D203" s="9">
        <v>6037</v>
      </c>
      <c r="E203" s="12" t="s">
        <v>13</v>
      </c>
    </row>
    <row r="204" spans="1:5" x14ac:dyDescent="0.25">
      <c r="A204" s="5">
        <v>1</v>
      </c>
      <c r="B204" s="6" t="str">
        <f>"BASE - 8051"</f>
        <v>BASE - 8051</v>
      </c>
      <c r="C204" s="6" t="str">
        <f>"31488051"</f>
        <v>31488051</v>
      </c>
      <c r="D204" s="10">
        <v>8051</v>
      </c>
      <c r="E204" s="12" t="s">
        <v>13</v>
      </c>
    </row>
    <row r="205" spans="1:5" x14ac:dyDescent="0.25">
      <c r="A205" s="4">
        <v>1</v>
      </c>
      <c r="B205" t="str">
        <f>"BASE - 8052"</f>
        <v>BASE - 8052</v>
      </c>
      <c r="C205" t="str">
        <f>"31488052"</f>
        <v>31488052</v>
      </c>
      <c r="D205" s="9">
        <v>8052</v>
      </c>
      <c r="E205" s="12" t="s">
        <v>13</v>
      </c>
    </row>
    <row r="206" spans="1:5" x14ac:dyDescent="0.25">
      <c r="A206" s="5">
        <v>3</v>
      </c>
      <c r="B206" s="6" t="str">
        <f>"BASE - 8053"</f>
        <v>BASE - 8053</v>
      </c>
      <c r="C206" s="6" t="str">
        <f>"31488053"</f>
        <v>31488053</v>
      </c>
      <c r="D206" s="10">
        <v>8053</v>
      </c>
      <c r="E206" s="12" t="s">
        <v>13</v>
      </c>
    </row>
    <row r="207" spans="1:5" x14ac:dyDescent="0.25">
      <c r="A207" s="4">
        <v>3</v>
      </c>
      <c r="B207" t="str">
        <f>"BASE - 8054"</f>
        <v>BASE - 8054</v>
      </c>
      <c r="C207" t="str">
        <f>"31488054"</f>
        <v>31488054</v>
      </c>
      <c r="D207" s="9">
        <v>8054</v>
      </c>
      <c r="E207" s="12" t="s">
        <v>13</v>
      </c>
    </row>
    <row r="208" spans="1:5" x14ac:dyDescent="0.25">
      <c r="A208" s="5">
        <v>4</v>
      </c>
      <c r="B208" s="6" t="str">
        <f>"BASE - 8071"</f>
        <v>BASE - 8071</v>
      </c>
      <c r="C208" s="6" t="str">
        <f>"31488071"</f>
        <v>31488071</v>
      </c>
      <c r="D208" s="10">
        <v>8071</v>
      </c>
      <c r="E208" s="12" t="s">
        <v>13</v>
      </c>
    </row>
    <row r="209" spans="1:5" x14ac:dyDescent="0.25">
      <c r="A209" s="4">
        <v>4</v>
      </c>
      <c r="B209" t="str">
        <f>"BASE - 8072"</f>
        <v>BASE - 8072</v>
      </c>
      <c r="C209" t="str">
        <f>"31488072"</f>
        <v>31488072</v>
      </c>
      <c r="D209" s="9">
        <v>8072</v>
      </c>
      <c r="E209" s="12" t="s">
        <v>13</v>
      </c>
    </row>
    <row r="210" spans="1:5" x14ac:dyDescent="0.25">
      <c r="A210" s="5">
        <v>32</v>
      </c>
      <c r="B210" s="6" t="str">
        <f>"BASE - 8096"</f>
        <v>BASE - 8096</v>
      </c>
      <c r="C210" s="6" t="str">
        <f>"31488096"</f>
        <v>31488096</v>
      </c>
      <c r="D210" s="10">
        <v>8096</v>
      </c>
      <c r="E210" s="12" t="s">
        <v>13</v>
      </c>
    </row>
    <row r="211" spans="1:5" x14ac:dyDescent="0.25">
      <c r="A211" s="4">
        <v>6</v>
      </c>
      <c r="B211" t="str">
        <f>"BASE DA LUMINARIA C/ TIRANTE MÁQ. 1000"</f>
        <v>BASE DA LUMINARIA C/ TIRANTE MÁQ. 1000</v>
      </c>
      <c r="C211" t="str">
        <f>"31488101ZE0"</f>
        <v>31488101ZE0</v>
      </c>
      <c r="D211" s="9">
        <v>8101</v>
      </c>
      <c r="E211" s="12" t="s">
        <v>13</v>
      </c>
    </row>
    <row r="212" spans="1:5" x14ac:dyDescent="0.25">
      <c r="A212" s="5">
        <v>6</v>
      </c>
      <c r="B212" s="6" t="str">
        <f>"BASE DA LUMINARIA - 8117"</f>
        <v>BASE DA LUMINARIA - 8117</v>
      </c>
      <c r="C212" s="6" t="str">
        <f>"31488117"</f>
        <v>31488117</v>
      </c>
      <c r="D212" s="10">
        <v>8117</v>
      </c>
      <c r="E212" s="12" t="s">
        <v>13</v>
      </c>
    </row>
    <row r="213" spans="1:5" x14ac:dyDescent="0.25">
      <c r="A213" s="4">
        <v>4</v>
      </c>
      <c r="B213" t="str">
        <f>"BASE - 8198"</f>
        <v>BASE - 8198</v>
      </c>
      <c r="C213" t="str">
        <f>"31488198"</f>
        <v>31488198</v>
      </c>
      <c r="D213" s="9">
        <v>8198</v>
      </c>
      <c r="E213" s="12" t="s">
        <v>13</v>
      </c>
    </row>
    <row r="214" spans="1:5" x14ac:dyDescent="0.25">
      <c r="A214" s="5">
        <v>12</v>
      </c>
      <c r="B214" s="6" t="str">
        <f>"BATENTE - 0603"</f>
        <v>BATENTE - 0603</v>
      </c>
      <c r="C214" s="6" t="str">
        <f>"31500603"</f>
        <v>31500603</v>
      </c>
      <c r="D214" s="10">
        <v>603</v>
      </c>
      <c r="E214" s="12" t="s">
        <v>13</v>
      </c>
    </row>
    <row r="215" spans="1:5" x14ac:dyDescent="0.25">
      <c r="A215" s="4">
        <v>4</v>
      </c>
      <c r="B215" t="str">
        <f>"BATENTE - 1924"</f>
        <v>BATENTE - 1924</v>
      </c>
      <c r="C215" t="str">
        <f>"31501924"</f>
        <v>31501924</v>
      </c>
      <c r="D215" s="9">
        <v>1924</v>
      </c>
      <c r="E215" s="12" t="s">
        <v>13</v>
      </c>
    </row>
    <row r="216" spans="1:5" x14ac:dyDescent="0.25">
      <c r="A216" s="5">
        <v>4</v>
      </c>
      <c r="B216" s="6" t="str">
        <f>"BATENTE - 1928"</f>
        <v>BATENTE - 1928</v>
      </c>
      <c r="C216" s="6" t="str">
        <f>"31501928"</f>
        <v>31501928</v>
      </c>
      <c r="D216" s="10">
        <v>1928</v>
      </c>
      <c r="E216" s="12" t="s">
        <v>13</v>
      </c>
    </row>
    <row r="217" spans="1:5" x14ac:dyDescent="0.25">
      <c r="A217" s="4">
        <v>2</v>
      </c>
      <c r="B217" t="str">
        <f>"BATENTE - 1962"</f>
        <v>BATENTE - 1962</v>
      </c>
      <c r="C217" t="str">
        <f>"31501962"</f>
        <v>31501962</v>
      </c>
      <c r="D217" s="9">
        <v>1962</v>
      </c>
      <c r="E217" s="12" t="s">
        <v>13</v>
      </c>
    </row>
    <row r="218" spans="1:5" x14ac:dyDescent="0.25">
      <c r="A218" s="5">
        <v>2</v>
      </c>
      <c r="B218" s="6" t="str">
        <f>"BATENTE - 1985"</f>
        <v>BATENTE - 1985</v>
      </c>
      <c r="C218" s="6" t="str">
        <f>"31501985"</f>
        <v>31501985</v>
      </c>
      <c r="D218" s="10">
        <v>1985</v>
      </c>
      <c r="E218" s="12" t="s">
        <v>13</v>
      </c>
    </row>
    <row r="219" spans="1:5" x14ac:dyDescent="0.25">
      <c r="A219" s="4">
        <v>2</v>
      </c>
      <c r="B219" t="str">
        <f>"BATENTE - 3500"</f>
        <v>BATENTE - 3500</v>
      </c>
      <c r="C219" t="str">
        <f>"31503500"</f>
        <v>31503500</v>
      </c>
      <c r="D219" s="9">
        <v>3500</v>
      </c>
      <c r="E219" s="12" t="s">
        <v>13</v>
      </c>
    </row>
    <row r="220" spans="1:5" x14ac:dyDescent="0.25">
      <c r="A220" s="5">
        <v>24</v>
      </c>
      <c r="B220" s="6" t="str">
        <f>"BATENTE DA BALANÇA"</f>
        <v>BATENTE DA BALANÇA</v>
      </c>
      <c r="C220" s="6" t="str">
        <f>"31505227"</f>
        <v>31505227</v>
      </c>
      <c r="D220" s="10">
        <v>5227</v>
      </c>
      <c r="E220" s="12" t="s">
        <v>13</v>
      </c>
    </row>
    <row r="221" spans="1:5" x14ac:dyDescent="0.25">
      <c r="A221" s="4">
        <v>16</v>
      </c>
      <c r="B221" t="str">
        <f>"BATENTE - 8040"</f>
        <v>BATENTE - 8040</v>
      </c>
      <c r="C221" t="str">
        <f>"31508040"</f>
        <v>31508040</v>
      </c>
      <c r="D221" s="9">
        <v>8040</v>
      </c>
      <c r="E221" s="12" t="s">
        <v>13</v>
      </c>
    </row>
    <row r="222" spans="1:5" x14ac:dyDescent="0.25">
      <c r="A222" s="5">
        <v>16</v>
      </c>
      <c r="B222" s="6" t="str">
        <f>"BATENTE - 8061"</f>
        <v>BATENTE - 8061</v>
      </c>
      <c r="C222" s="6" t="str">
        <f>"31508061"</f>
        <v>31508061</v>
      </c>
      <c r="D222" s="10">
        <v>8061</v>
      </c>
      <c r="E222" s="12" t="s">
        <v>13</v>
      </c>
    </row>
    <row r="223" spans="1:5" x14ac:dyDescent="0.25">
      <c r="A223" s="4">
        <v>8</v>
      </c>
      <c r="B223" t="str">
        <f>"BATENTE - 8092"</f>
        <v>BATENTE - 8092</v>
      </c>
      <c r="C223" t="str">
        <f>"31508092"</f>
        <v>31508092</v>
      </c>
      <c r="D223" s="9">
        <v>8092</v>
      </c>
      <c r="E223" s="12" t="s">
        <v>13</v>
      </c>
    </row>
    <row r="224" spans="1:5" x14ac:dyDescent="0.25">
      <c r="A224" s="5">
        <v>2</v>
      </c>
      <c r="B224" s="6" t="str">
        <f>"BATENTE - 8112"</f>
        <v>BATENTE - 8112</v>
      </c>
      <c r="C224" s="6" t="str">
        <f>"31508112"</f>
        <v>31508112</v>
      </c>
      <c r="D224" s="10">
        <v>8112</v>
      </c>
      <c r="E224" s="12" t="s">
        <v>13</v>
      </c>
    </row>
    <row r="225" spans="1:5" x14ac:dyDescent="0.25">
      <c r="A225" s="4">
        <v>2</v>
      </c>
      <c r="B225" t="str">
        <f>"BATENTE - 8113"</f>
        <v>BATENTE - 8113</v>
      </c>
      <c r="C225" t="str">
        <f>"31508113"</f>
        <v>31508113</v>
      </c>
      <c r="D225" s="9">
        <v>8113</v>
      </c>
      <c r="E225" s="12" t="s">
        <v>13</v>
      </c>
    </row>
    <row r="226" spans="1:5" x14ac:dyDescent="0.25">
      <c r="A226" s="5">
        <v>2</v>
      </c>
      <c r="B226" s="6" t="str">
        <f>"BLOCO DISTRIBUIDOR 5651"</f>
        <v>BLOCO DISTRIBUIDOR 5651</v>
      </c>
      <c r="C226" s="6" t="str">
        <f>"31525651"</f>
        <v>31525651</v>
      </c>
      <c r="D226" s="10">
        <v>5651</v>
      </c>
      <c r="E226" s="12" t="s">
        <v>13</v>
      </c>
    </row>
    <row r="227" spans="1:5" x14ac:dyDescent="0.25">
      <c r="A227" s="4">
        <v>1</v>
      </c>
      <c r="B227" t="str">
        <f>"BICO DE SAÍDA"</f>
        <v>BICO DE SAÍDA</v>
      </c>
      <c r="C227" t="str">
        <f>"31540556"</f>
        <v>31540556</v>
      </c>
      <c r="D227" s="9">
        <v>556</v>
      </c>
      <c r="E227" s="12" t="s">
        <v>13</v>
      </c>
    </row>
    <row r="228" spans="1:5" x14ac:dyDescent="0.25">
      <c r="A228" s="5">
        <v>12</v>
      </c>
      <c r="B228" s="6" t="str">
        <f>"BICO DIFUSOR"</f>
        <v>BICO DIFUSOR</v>
      </c>
      <c r="C228" s="6" t="str">
        <f>"31545184"</f>
        <v>31545184</v>
      </c>
      <c r="D228" s="10">
        <v>5184</v>
      </c>
      <c r="E228" s="12" t="s">
        <v>13</v>
      </c>
    </row>
    <row r="229" spans="1:5" x14ac:dyDescent="0.25">
      <c r="A229" s="4">
        <v>2</v>
      </c>
      <c r="B229" t="str">
        <f>"BRAÇO - 0275"</f>
        <v>BRAÇO - 0275</v>
      </c>
      <c r="C229" t="str">
        <f>"31640275"</f>
        <v>31640275</v>
      </c>
      <c r="D229" s="9">
        <v>275</v>
      </c>
      <c r="E229" s="12" t="s">
        <v>13</v>
      </c>
    </row>
    <row r="230" spans="1:5" x14ac:dyDescent="0.25">
      <c r="A230" s="5">
        <v>1</v>
      </c>
      <c r="B230" s="6" t="str">
        <f>"BRAÇO ESQUERDO"</f>
        <v>BRAÇO ESQUERDO</v>
      </c>
      <c r="C230" s="6" t="str">
        <f>"31640854V02"</f>
        <v>31640854V02</v>
      </c>
      <c r="D230" s="10">
        <v>854</v>
      </c>
      <c r="E230" s="12" t="s">
        <v>13</v>
      </c>
    </row>
    <row r="231" spans="1:5" x14ac:dyDescent="0.25">
      <c r="A231" s="4">
        <v>2</v>
      </c>
      <c r="B231" t="str">
        <f>"BRAÇO - 0950"</f>
        <v>BRAÇO - 0950</v>
      </c>
      <c r="C231" t="str">
        <f>"31640950"</f>
        <v>31640950</v>
      </c>
      <c r="D231" s="9">
        <v>950</v>
      </c>
      <c r="E231" s="12" t="s">
        <v>13</v>
      </c>
    </row>
    <row r="232" spans="1:5" x14ac:dyDescent="0.25">
      <c r="A232" s="5">
        <v>1</v>
      </c>
      <c r="B232" s="6" t="str">
        <f>"BRAÇO DIREITO"</f>
        <v>BRAÇO DIREITO</v>
      </c>
      <c r="C232" s="6" t="str">
        <f>"31641846V01"</f>
        <v>31641846V01</v>
      </c>
      <c r="D232" s="10">
        <v>1846</v>
      </c>
      <c r="E232" s="12" t="s">
        <v>13</v>
      </c>
    </row>
    <row r="233" spans="1:5" x14ac:dyDescent="0.25">
      <c r="A233" s="4">
        <v>1</v>
      </c>
      <c r="B233" t="str">
        <f>"BRAÇO ESQUERDO"</f>
        <v>BRAÇO ESQUERDO</v>
      </c>
      <c r="C233" t="str">
        <f>"31641846V02"</f>
        <v>31641846V02</v>
      </c>
      <c r="D233" s="9">
        <v>1846</v>
      </c>
      <c r="E233" s="12" t="s">
        <v>13</v>
      </c>
    </row>
    <row r="234" spans="1:5" x14ac:dyDescent="0.25">
      <c r="A234" s="5">
        <v>2</v>
      </c>
      <c r="B234" s="6" t="str">
        <f>"BRAÇO - 1860"</f>
        <v>BRAÇO - 1860</v>
      </c>
      <c r="C234" s="6" t="str">
        <f>"31641860"</f>
        <v>31641860</v>
      </c>
      <c r="D234" s="10">
        <v>1860</v>
      </c>
      <c r="E234" s="12" t="s">
        <v>13</v>
      </c>
    </row>
    <row r="235" spans="1:5" x14ac:dyDescent="0.25">
      <c r="A235" s="4">
        <v>1</v>
      </c>
      <c r="B235" t="str">
        <f>"BRAÇO - 1916"</f>
        <v>BRAÇO - 1916</v>
      </c>
      <c r="C235" t="str">
        <f>"31641916"</f>
        <v>31641916</v>
      </c>
      <c r="D235" s="9">
        <v>1916</v>
      </c>
      <c r="E235" s="12" t="s">
        <v>13</v>
      </c>
    </row>
    <row r="236" spans="1:5" x14ac:dyDescent="0.25">
      <c r="A236" s="5">
        <v>1</v>
      </c>
      <c r="B236" s="6" t="str">
        <f>"BRAÇO - 1917"</f>
        <v>BRAÇO - 1917</v>
      </c>
      <c r="C236" s="6" t="str">
        <f>"31641917"</f>
        <v>31641917</v>
      </c>
      <c r="D236" s="10">
        <v>1917</v>
      </c>
      <c r="E236" s="12" t="s">
        <v>13</v>
      </c>
    </row>
    <row r="237" spans="1:5" x14ac:dyDescent="0.25">
      <c r="A237" s="4">
        <v>2</v>
      </c>
      <c r="B237" t="str">
        <f>"BRAÇO DO ELEVADOR - 1918"</f>
        <v>BRAÇO DO ELEVADOR - 1918</v>
      </c>
      <c r="C237" t="str">
        <f>"31641918"</f>
        <v>31641918</v>
      </c>
      <c r="D237" s="9">
        <v>1918</v>
      </c>
      <c r="E237" s="12" t="s">
        <v>13</v>
      </c>
    </row>
    <row r="238" spans="1:5" x14ac:dyDescent="0.25">
      <c r="A238" s="5">
        <v>2</v>
      </c>
      <c r="B238" s="6" t="str">
        <f>"BRAÇO DO ELEVADOR - 1919"</f>
        <v>BRAÇO DO ELEVADOR - 1919</v>
      </c>
      <c r="C238" s="6" t="str">
        <f>"31641919"</f>
        <v>31641919</v>
      </c>
      <c r="D238" s="10">
        <v>1919</v>
      </c>
      <c r="E238" s="12" t="s">
        <v>13</v>
      </c>
    </row>
    <row r="239" spans="1:5" x14ac:dyDescent="0.25">
      <c r="A239" s="4">
        <v>1</v>
      </c>
      <c r="B239" t="str">
        <f>"BRAÇO MAQ. 1000 mm"</f>
        <v>BRAÇO MAQ. 1000 mm</v>
      </c>
      <c r="C239" t="str">
        <f>"31641971BE0"</f>
        <v>31641971BE0</v>
      </c>
      <c r="D239" s="9">
        <v>1971</v>
      </c>
      <c r="E239" s="12" t="s">
        <v>13</v>
      </c>
    </row>
    <row r="240" spans="1:5" x14ac:dyDescent="0.25">
      <c r="A240" s="5">
        <v>1</v>
      </c>
      <c r="B240" s="6" t="str">
        <f>"BRAÇO - 1972"</f>
        <v>BRAÇO - 1972</v>
      </c>
      <c r="C240" s="6" t="str">
        <f>"31641972"</f>
        <v>31641972</v>
      </c>
      <c r="D240" s="10">
        <v>1972</v>
      </c>
      <c r="E240" s="12" t="s">
        <v>13</v>
      </c>
    </row>
    <row r="241" spans="1:5" x14ac:dyDescent="0.25">
      <c r="A241" s="4">
        <v>1</v>
      </c>
      <c r="B241" t="str">
        <f>"BRAÇO - 1973"</f>
        <v>BRAÇO - 1973</v>
      </c>
      <c r="C241" t="str">
        <f>"31641973"</f>
        <v>31641973</v>
      </c>
      <c r="D241" s="9">
        <v>1973</v>
      </c>
      <c r="E241" s="12" t="s">
        <v>13</v>
      </c>
    </row>
    <row r="242" spans="1:5" x14ac:dyDescent="0.25">
      <c r="A242" s="5">
        <v>1</v>
      </c>
      <c r="B242" s="6" t="str">
        <f>"BRACO DA FACA DE CORTE ESQ."</f>
        <v>BRACO DA FACA DE CORTE ESQ.</v>
      </c>
      <c r="C242" s="6" t="str">
        <f>"31645107V01"</f>
        <v>31645107V01</v>
      </c>
      <c r="D242" s="10">
        <v>5107</v>
      </c>
      <c r="E242" s="12" t="s">
        <v>13</v>
      </c>
    </row>
    <row r="243" spans="1:5" x14ac:dyDescent="0.25">
      <c r="A243" s="4">
        <v>1</v>
      </c>
      <c r="B243" t="str">
        <f>"BRACO DA FACA DE CORTE DIR."</f>
        <v>BRACO DA FACA DE CORTE DIR.</v>
      </c>
      <c r="C243" t="str">
        <f>"31645107V02"</f>
        <v>31645107V02</v>
      </c>
      <c r="D243" s="9">
        <v>5107</v>
      </c>
      <c r="E243" s="12" t="s">
        <v>13</v>
      </c>
    </row>
    <row r="244" spans="1:5" x14ac:dyDescent="0.25">
      <c r="A244" s="5">
        <v>1</v>
      </c>
      <c r="B244" s="6" t="str">
        <f>"BRAÇO DIR."</f>
        <v>BRAÇO DIR.</v>
      </c>
      <c r="C244" s="6" t="str">
        <f>"31645109V01"</f>
        <v>31645109V01</v>
      </c>
      <c r="D244" s="10">
        <v>5109</v>
      </c>
      <c r="E244" s="12" t="s">
        <v>13</v>
      </c>
    </row>
    <row r="245" spans="1:5" x14ac:dyDescent="0.25">
      <c r="A245" s="4">
        <v>2</v>
      </c>
      <c r="B245" t="str">
        <f>"BRAÇO 6057"</f>
        <v>BRAÇO 6057</v>
      </c>
      <c r="C245" t="str">
        <f>"31646057"</f>
        <v>31646057</v>
      </c>
      <c r="D245" s="9">
        <v>6057</v>
      </c>
      <c r="E245" s="12" t="s">
        <v>13</v>
      </c>
    </row>
    <row r="246" spans="1:5" x14ac:dyDescent="0.25">
      <c r="A246" s="5">
        <v>4</v>
      </c>
      <c r="B246" s="6" t="str">
        <f>"BRACO DA BALANÇA - 6270"</f>
        <v>BRACO DA BALANÇA - 6270</v>
      </c>
      <c r="C246" s="6" t="str">
        <f>"31646270"</f>
        <v>31646270</v>
      </c>
      <c r="D246" s="10">
        <v>6270</v>
      </c>
      <c r="E246" s="12" t="s">
        <v>13</v>
      </c>
    </row>
    <row r="247" spans="1:5" x14ac:dyDescent="0.25">
      <c r="A247" s="4">
        <v>2</v>
      </c>
      <c r="B247" t="str">
        <f>"BUCHA - 0011"</f>
        <v>BUCHA - 0011</v>
      </c>
      <c r="C247" t="str">
        <f>"31680011AX1"</f>
        <v>31680011AX1</v>
      </c>
      <c r="D247" s="9">
        <v>11</v>
      </c>
      <c r="E247" s="12" t="s">
        <v>13</v>
      </c>
    </row>
    <row r="248" spans="1:5" x14ac:dyDescent="0.25">
      <c r="A248" s="5">
        <v>48</v>
      </c>
      <c r="B248" s="6" t="str">
        <f>"BUCHA - 1396"</f>
        <v>BUCHA - 1396</v>
      </c>
      <c r="C248" s="6" t="str">
        <f>"31681396"</f>
        <v>31681396</v>
      </c>
      <c r="D248" s="10">
        <v>1396</v>
      </c>
      <c r="E248" s="12" t="s">
        <v>13</v>
      </c>
    </row>
    <row r="249" spans="1:5" x14ac:dyDescent="0.25">
      <c r="A249" s="4">
        <v>2</v>
      </c>
      <c r="B249" t="str">
        <f>"BUCHA LIMITADORA"</f>
        <v>BUCHA LIMITADORA</v>
      </c>
      <c r="C249" t="str">
        <f>"31681853"</f>
        <v>31681853</v>
      </c>
      <c r="D249" s="9">
        <v>1853</v>
      </c>
      <c r="E249" s="12" t="s">
        <v>13</v>
      </c>
    </row>
    <row r="250" spans="1:5" x14ac:dyDescent="0.25">
      <c r="A250" s="5">
        <v>1</v>
      </c>
      <c r="B250" s="6" t="str">
        <f>"BUCHA DE VEDACAO"</f>
        <v>BUCHA DE VEDACAO</v>
      </c>
      <c r="C250" s="6" t="str">
        <f>"31682670"</f>
        <v>31682670</v>
      </c>
      <c r="D250" s="10">
        <v>2670</v>
      </c>
      <c r="E250" s="12" t="s">
        <v>13</v>
      </c>
    </row>
    <row r="251" spans="1:5" x14ac:dyDescent="0.25">
      <c r="A251" s="4">
        <v>2</v>
      </c>
      <c r="B251" t="str">
        <f>"BUCHA DA BALANÇA"</f>
        <v>BUCHA DA BALANÇA</v>
      </c>
      <c r="C251" t="str">
        <f>"31685214"</f>
        <v>31685214</v>
      </c>
      <c r="D251" s="9">
        <v>5214</v>
      </c>
      <c r="E251" s="12" t="s">
        <v>13</v>
      </c>
    </row>
    <row r="252" spans="1:5" x14ac:dyDescent="0.25">
      <c r="A252" s="5">
        <v>8</v>
      </c>
      <c r="B252" s="6" t="str">
        <f>"BUCHA EXENTRICA DO BATENTE"</f>
        <v>BUCHA EXENTRICA DO BATENTE</v>
      </c>
      <c r="C252" s="6" t="str">
        <f>"31685226"</f>
        <v>31685226</v>
      </c>
      <c r="D252" s="10">
        <v>5226</v>
      </c>
      <c r="E252" s="12" t="s">
        <v>13</v>
      </c>
    </row>
    <row r="253" spans="1:5" x14ac:dyDescent="0.25">
      <c r="A253" s="4">
        <v>8</v>
      </c>
      <c r="B253" t="str">
        <f>"BUCHA DE REDUÇÃO 5668"</f>
        <v>BUCHA DE REDUÇÃO 5668</v>
      </c>
      <c r="C253" t="str">
        <f>"31685668"</f>
        <v>31685668</v>
      </c>
      <c r="D253" s="9">
        <v>5668</v>
      </c>
      <c r="E253" s="12" t="s">
        <v>13</v>
      </c>
    </row>
    <row r="254" spans="1:5" x14ac:dyDescent="0.25">
      <c r="A254" s="5">
        <v>2</v>
      </c>
      <c r="B254" s="6" t="str">
        <f>"BUCHA - 5724"</f>
        <v>BUCHA - 5724</v>
      </c>
      <c r="C254" s="6" t="str">
        <f>"31685724"</f>
        <v>31685724</v>
      </c>
      <c r="D254" s="10">
        <v>5724</v>
      </c>
      <c r="E254" s="12" t="s">
        <v>13</v>
      </c>
    </row>
    <row r="255" spans="1:5" x14ac:dyDescent="0.25">
      <c r="A255" s="4">
        <v>2</v>
      </c>
      <c r="B255" t="str">
        <f>"BUCHA DA BALANÇA - 8019"</f>
        <v>BUCHA DA BALANÇA - 8019</v>
      </c>
      <c r="C255" t="str">
        <f>"31688019"</f>
        <v>31688019</v>
      </c>
      <c r="D255" s="9">
        <v>8019</v>
      </c>
      <c r="E255" s="12" t="s">
        <v>13</v>
      </c>
    </row>
    <row r="256" spans="1:5" x14ac:dyDescent="0.25">
      <c r="A256" s="5">
        <v>3</v>
      </c>
      <c r="B256" s="6" t="str">
        <f>"CAIXA DE SECAGEM 2 , 4 e 6 COR MÁQ. 1000"</f>
        <v>CAIXA DE SECAGEM 2 , 4 e 6 COR MÁQ. 1000</v>
      </c>
      <c r="C256" s="6" t="str">
        <f>"31780920BE0"</f>
        <v>31780920BE0</v>
      </c>
      <c r="D256" s="10">
        <v>920</v>
      </c>
      <c r="E256" s="12" t="s">
        <v>13</v>
      </c>
    </row>
    <row r="257" spans="1:5" x14ac:dyDescent="0.25">
      <c r="A257" s="4">
        <v>14</v>
      </c>
      <c r="B257" t="str">
        <f>"CAIXA (CHAPA DE AÇO) - MAQ. 1000"</f>
        <v>CAIXA (CHAPA DE AÇO) - MAQ. 1000</v>
      </c>
      <c r="C257" t="str">
        <f>"31780920BE0V14"</f>
        <v>31780920BE0V14</v>
      </c>
      <c r="D257" s="9">
        <v>920</v>
      </c>
      <c r="E257" s="12" t="s">
        <v>13</v>
      </c>
    </row>
    <row r="258" spans="1:5" x14ac:dyDescent="0.25">
      <c r="A258" s="5">
        <v>3</v>
      </c>
      <c r="B258" s="6" t="str">
        <f>"CAIXA (CHAPAS) - 0920V12"</f>
        <v>CAIXA (CHAPAS) - 0920V12</v>
      </c>
      <c r="C258" s="6" t="str">
        <f>"31780920V12"</f>
        <v>31780920V12</v>
      </c>
      <c r="D258" s="10">
        <v>920</v>
      </c>
      <c r="E258" s="12" t="s">
        <v>13</v>
      </c>
    </row>
    <row r="259" spans="1:5" x14ac:dyDescent="0.25">
      <c r="A259" s="4">
        <v>3</v>
      </c>
      <c r="B259" t="str">
        <f>"CAIXA (CHAPAS) - 0920V13"</f>
        <v>CAIXA (CHAPAS) - 0920V13</v>
      </c>
      <c r="C259" t="str">
        <f>"31780920V13"</f>
        <v>31780920V13</v>
      </c>
      <c r="D259" s="9">
        <v>920</v>
      </c>
      <c r="E259" s="12" t="s">
        <v>13</v>
      </c>
    </row>
    <row r="260" spans="1:5" x14ac:dyDescent="0.25">
      <c r="A260" s="5">
        <v>14</v>
      </c>
      <c r="B260" s="6" t="str">
        <f>"CAIXA (CHAPAS)  MAQ. 1000"</f>
        <v>CAIXA (CHAPAS)  MAQ. 1000</v>
      </c>
      <c r="C260" s="6" t="str">
        <f>"31780920V21BE0"</f>
        <v>31780920V21BE0</v>
      </c>
      <c r="D260" s="10">
        <v>920</v>
      </c>
      <c r="E260" s="12" t="s">
        <v>13</v>
      </c>
    </row>
    <row r="261" spans="1:5" x14ac:dyDescent="0.25">
      <c r="A261" s="4">
        <v>14</v>
      </c>
      <c r="B261" t="str">
        <f>"CAIXA (CHAPAS) - 0920V22"</f>
        <v>CAIXA (CHAPAS) - 0920V22</v>
      </c>
      <c r="C261" t="str">
        <f>"31780920V22"</f>
        <v>31780920V22</v>
      </c>
      <c r="D261" s="9">
        <v>920</v>
      </c>
      <c r="E261" s="12" t="s">
        <v>13</v>
      </c>
    </row>
    <row r="262" spans="1:5" x14ac:dyDescent="0.25">
      <c r="A262" s="5">
        <v>4</v>
      </c>
      <c r="B262" s="6" t="str">
        <f>"CAIXA - 2102"</f>
        <v>CAIXA - 2102</v>
      </c>
      <c r="C262" s="6" t="str">
        <f>"31782102"</f>
        <v>31782102</v>
      </c>
      <c r="D262" s="10">
        <v>2102</v>
      </c>
      <c r="E262" s="12" t="s">
        <v>13</v>
      </c>
    </row>
    <row r="263" spans="1:5" x14ac:dyDescent="0.25">
      <c r="A263" s="4">
        <v>1</v>
      </c>
      <c r="B263" t="str">
        <f>"CAIXA - 5628V01"</f>
        <v>CAIXA - 5628V01</v>
      </c>
      <c r="C263" t="str">
        <f>"31785628V01"</f>
        <v>31785628V01</v>
      </c>
      <c r="D263" s="9">
        <v>5628</v>
      </c>
      <c r="E263" s="12" t="s">
        <v>13</v>
      </c>
    </row>
    <row r="264" spans="1:5" x14ac:dyDescent="0.25">
      <c r="A264" s="5">
        <v>1</v>
      </c>
      <c r="B264" s="6" t="str">
        <f>"CAIXA - 5629V01"</f>
        <v>CAIXA - 5629V01</v>
      </c>
      <c r="C264" s="6" t="str">
        <f>"31785629V01"</f>
        <v>31785629V01</v>
      </c>
      <c r="D264" s="10">
        <v>5629</v>
      </c>
      <c r="E264" s="12" t="s">
        <v>13</v>
      </c>
    </row>
    <row r="265" spans="1:5" x14ac:dyDescent="0.25">
      <c r="A265" s="4">
        <v>2</v>
      </c>
      <c r="B265" t="str">
        <f>"CAIXA"</f>
        <v>CAIXA</v>
      </c>
      <c r="C265" t="str">
        <f>"31786336"</f>
        <v>31786336</v>
      </c>
      <c r="D265" s="9">
        <v>6336</v>
      </c>
      <c r="E265" s="12" t="s">
        <v>13</v>
      </c>
    </row>
    <row r="266" spans="1:5" x14ac:dyDescent="0.25">
      <c r="A266" s="5">
        <v>1</v>
      </c>
      <c r="B266" s="6" t="str">
        <f>"CAIXA DE EXAUSTÃO MÁQ. 1000 - 8239AX1"</f>
        <v>CAIXA DE EXAUSTÃO MÁQ. 1000 - 8239AX1</v>
      </c>
      <c r="C266" s="6" t="str">
        <f>"31788239AX1ZE0"</f>
        <v>31788239AX1ZE0</v>
      </c>
      <c r="D266" s="10">
        <v>8239</v>
      </c>
      <c r="E266" s="12" t="s">
        <v>13</v>
      </c>
    </row>
    <row r="267" spans="1:5" x14ac:dyDescent="0.25">
      <c r="A267" s="4">
        <v>1</v>
      </c>
      <c r="B267" t="str">
        <f>"CAIXA DE SOPRO MÁQ. 1000 - 8239AX"</f>
        <v>CAIXA DE SOPRO MÁQ. 1000 - 8239AX</v>
      </c>
      <c r="C267" t="str">
        <f>"31788239AXZE0"</f>
        <v>31788239AXZE0</v>
      </c>
      <c r="D267" s="9">
        <v>8239</v>
      </c>
      <c r="E267" s="12" t="s">
        <v>13</v>
      </c>
    </row>
    <row r="268" spans="1:5" x14ac:dyDescent="0.25">
      <c r="A268" s="5">
        <v>1</v>
      </c>
      <c r="B268" s="6" t="str">
        <f>"CAIXA DA SECAGEM FINAL MÁQ. 1000 - 8239"</f>
        <v>CAIXA DA SECAGEM FINAL MÁQ. 1000 - 8239</v>
      </c>
      <c r="C268" s="6" t="str">
        <f>"31788239ZE0"</f>
        <v>31788239ZE0</v>
      </c>
      <c r="D268" s="10">
        <v>8239</v>
      </c>
      <c r="E268" s="12" t="s">
        <v>13</v>
      </c>
    </row>
    <row r="269" spans="1:5" x14ac:dyDescent="0.25">
      <c r="A269" s="4">
        <v>1</v>
      </c>
      <c r="B269" t="str">
        <f>"CAIXA DE AQUECIMENTO - 8244"</f>
        <v>CAIXA DE AQUECIMENTO - 8244</v>
      </c>
      <c r="C269" t="str">
        <f>"31788244"</f>
        <v>31788244</v>
      </c>
      <c r="D269" s="9">
        <v>8244</v>
      </c>
      <c r="E269" s="12" t="s">
        <v>13</v>
      </c>
    </row>
    <row r="270" spans="1:5" x14ac:dyDescent="0.25">
      <c r="A270" s="5">
        <v>1</v>
      </c>
      <c r="B270" s="6" t="str">
        <f>"CAIXA DE AQUECIMENTO - 8246"</f>
        <v>CAIXA DE AQUECIMENTO - 8246</v>
      </c>
      <c r="C270" s="6" t="str">
        <f>"31788246"</f>
        <v>31788246</v>
      </c>
      <c r="D270" s="10">
        <v>8246</v>
      </c>
      <c r="E270" s="12" t="s">
        <v>13</v>
      </c>
    </row>
    <row r="271" spans="1:5" x14ac:dyDescent="0.25">
      <c r="A271" s="4">
        <v>4</v>
      </c>
      <c r="B271" t="str">
        <f>"CAIXA (CHAPAS) - 8250V13"</f>
        <v>CAIXA (CHAPAS) - 8250V13</v>
      </c>
      <c r="C271" t="str">
        <f>"31788250V13"</f>
        <v>31788250V13</v>
      </c>
      <c r="D271" s="9">
        <v>8250</v>
      </c>
      <c r="E271" s="12" t="s">
        <v>13</v>
      </c>
    </row>
    <row r="272" spans="1:5" x14ac:dyDescent="0.25">
      <c r="A272" s="5">
        <v>4</v>
      </c>
      <c r="B272" s="6" t="str">
        <f>"CAIXA (CHAPAS) - 8250V14"</f>
        <v>CAIXA (CHAPAS) - 8250V14</v>
      </c>
      <c r="C272" s="6" t="str">
        <f>"31788250V14"</f>
        <v>31788250V14</v>
      </c>
      <c r="D272" s="10">
        <v>8250</v>
      </c>
      <c r="E272" s="12" t="s">
        <v>13</v>
      </c>
    </row>
    <row r="273" spans="1:5" x14ac:dyDescent="0.25">
      <c r="A273" s="4">
        <v>2</v>
      </c>
      <c r="B273" t="str">
        <f>"CAIXA DE SECAGEM 1 e 5 COR MÁQ. 1000 - 8250"</f>
        <v>CAIXA DE SECAGEM 1 e 5 COR MÁQ. 1000 - 8250</v>
      </c>
      <c r="C273" t="str">
        <f>"31788250ZE0"</f>
        <v>31788250ZE0</v>
      </c>
      <c r="D273" s="9">
        <v>8250</v>
      </c>
      <c r="E273" s="12" t="s">
        <v>13</v>
      </c>
    </row>
    <row r="274" spans="1:5" x14ac:dyDescent="0.25">
      <c r="A274" s="5">
        <v>2</v>
      </c>
      <c r="B274" s="6" t="str">
        <f>"CAIXA DE SECAGEM 3 e 7 COR MÁQ. 1000 - 8251"</f>
        <v>CAIXA DE SECAGEM 3 e 7 COR MÁQ. 1000 - 8251</v>
      </c>
      <c r="C274" s="6" t="str">
        <f>"31788251ZE0"</f>
        <v>31788251ZE0</v>
      </c>
      <c r="D274" s="10">
        <v>8251</v>
      </c>
      <c r="E274" s="12" t="s">
        <v>13</v>
      </c>
    </row>
    <row r="275" spans="1:5" x14ac:dyDescent="0.25">
      <c r="A275" s="4">
        <v>1</v>
      </c>
      <c r="B275" t="str">
        <f>"CAIXA DE AQUECIMENTO - 8257"</f>
        <v>CAIXA DE AQUECIMENTO - 8257</v>
      </c>
      <c r="C275" t="str">
        <f>"31788257"</f>
        <v>31788257</v>
      </c>
      <c r="D275" s="9">
        <v>8257</v>
      </c>
      <c r="E275" s="12" t="s">
        <v>13</v>
      </c>
    </row>
    <row r="276" spans="1:5" x14ac:dyDescent="0.25">
      <c r="A276" s="5">
        <v>1</v>
      </c>
      <c r="B276" s="6" t="str">
        <f>"CAIXA DE EXAUSTÃO - 8261"</f>
        <v>CAIXA DE EXAUSTÃO - 8261</v>
      </c>
      <c r="C276" s="6" t="str">
        <f>"31788261"</f>
        <v>31788261</v>
      </c>
      <c r="D276" s="10">
        <v>8261</v>
      </c>
      <c r="E276" s="12" t="s">
        <v>13</v>
      </c>
    </row>
    <row r="277" spans="1:5" x14ac:dyDescent="0.25">
      <c r="A277" s="4">
        <v>1</v>
      </c>
      <c r="B277" t="str">
        <f>"CALANDRA P/ ZETA 1000"</f>
        <v>CALANDRA P/ ZETA 1000</v>
      </c>
      <c r="C277" t="str">
        <f>"31808004ZE0"</f>
        <v>31808004ZE0</v>
      </c>
      <c r="D277" s="9">
        <v>8004</v>
      </c>
      <c r="E277" s="12" t="s">
        <v>13</v>
      </c>
    </row>
    <row r="278" spans="1:5" x14ac:dyDescent="0.25">
      <c r="A278" s="5">
        <v>2</v>
      </c>
      <c r="B278" s="6" t="str">
        <f>"CALÇO A = 35"</f>
        <v>CALÇO A = 35</v>
      </c>
      <c r="C278" s="6" t="str">
        <f>"31840083V02"</f>
        <v>31840083V02</v>
      </c>
      <c r="D278" s="10">
        <v>83</v>
      </c>
      <c r="E278" s="12" t="s">
        <v>13</v>
      </c>
    </row>
    <row r="279" spans="1:5" x14ac:dyDescent="0.25">
      <c r="A279" s="4">
        <v>4</v>
      </c>
      <c r="B279" t="str">
        <f>"CALÇO A = 27"</f>
        <v>CALÇO A = 27</v>
      </c>
      <c r="C279" t="str">
        <f>"31840083V03"</f>
        <v>31840083V03</v>
      </c>
      <c r="D279" s="9">
        <v>83</v>
      </c>
      <c r="E279" s="12" t="s">
        <v>13</v>
      </c>
    </row>
    <row r="280" spans="1:5" x14ac:dyDescent="0.25">
      <c r="A280" s="5">
        <v>2</v>
      </c>
      <c r="B280" s="6" t="str">
        <f>"CALÇO A = 35 (COM ALIVIO)"</f>
        <v>CALÇO A = 35 (COM ALIVIO)</v>
      </c>
      <c r="C280" s="6" t="str">
        <f>"31840083V04"</f>
        <v>31840083V04</v>
      </c>
      <c r="D280" s="10">
        <v>83</v>
      </c>
      <c r="E280" s="12" t="s">
        <v>13</v>
      </c>
    </row>
    <row r="281" spans="1:5" x14ac:dyDescent="0.25">
      <c r="A281" s="4">
        <v>4</v>
      </c>
      <c r="B281" t="str">
        <f>"CALÇO A = 4,5"</f>
        <v>CALÇO A = 4,5</v>
      </c>
      <c r="C281" t="str">
        <f>"31840265V01"</f>
        <v>31840265V01</v>
      </c>
      <c r="D281" s="9">
        <v>265</v>
      </c>
      <c r="E281" s="12" t="s">
        <v>13</v>
      </c>
    </row>
    <row r="282" spans="1:5" x14ac:dyDescent="0.25">
      <c r="A282" s="5">
        <v>2</v>
      </c>
      <c r="B282" s="6" t="str">
        <f>"CALÇO A = 3"</f>
        <v>CALÇO A = 3</v>
      </c>
      <c r="C282" s="6" t="str">
        <f>"31840265V02"</f>
        <v>31840265V02</v>
      </c>
      <c r="D282" s="10">
        <v>265</v>
      </c>
      <c r="E282" s="12" t="s">
        <v>13</v>
      </c>
    </row>
    <row r="283" spans="1:5" x14ac:dyDescent="0.25">
      <c r="A283" s="4">
        <v>2</v>
      </c>
      <c r="B283" t="str">
        <f>"CALÇO A = 25 - 0276"</f>
        <v>CALÇO A = 25 - 0276</v>
      </c>
      <c r="C283" t="str">
        <f>"31840276V01"</f>
        <v>31840276V01</v>
      </c>
      <c r="D283" s="9">
        <v>276</v>
      </c>
      <c r="E283" s="12" t="s">
        <v>13</v>
      </c>
    </row>
    <row r="284" spans="1:5" x14ac:dyDescent="0.25">
      <c r="A284" s="5">
        <v>4</v>
      </c>
      <c r="B284" s="6" t="str">
        <f>"CALÇO A = 14,5"</f>
        <v>CALÇO A = 14,5</v>
      </c>
      <c r="C284" s="6" t="str">
        <f>"31840276V02"</f>
        <v>31840276V02</v>
      </c>
      <c r="D284" s="10">
        <v>276</v>
      </c>
      <c r="E284" s="12" t="s">
        <v>13</v>
      </c>
    </row>
    <row r="285" spans="1:5" x14ac:dyDescent="0.25">
      <c r="A285" s="4">
        <v>4</v>
      </c>
      <c r="B285" t="str">
        <f>"CALÇO A = 18"</f>
        <v>CALÇO A = 18</v>
      </c>
      <c r="C285" t="str">
        <f>"31840276V03"</f>
        <v>31840276V03</v>
      </c>
      <c r="D285" s="9">
        <v>276</v>
      </c>
      <c r="E285" s="12" t="s">
        <v>13</v>
      </c>
    </row>
    <row r="286" spans="1:5" x14ac:dyDescent="0.25">
      <c r="A286" s="5">
        <v>4</v>
      </c>
      <c r="B286" s="6" t="str">
        <f>"CALÇO - 1920"</f>
        <v>CALÇO - 1920</v>
      </c>
      <c r="C286" s="6" t="str">
        <f>"31841920"</f>
        <v>31841920</v>
      </c>
      <c r="D286" s="10">
        <v>1920</v>
      </c>
      <c r="E286" s="12" t="s">
        <v>13</v>
      </c>
    </row>
    <row r="287" spans="1:5" x14ac:dyDescent="0.25">
      <c r="A287" s="4">
        <v>16</v>
      </c>
      <c r="B287" t="str">
        <f>"CALÇO"</f>
        <v>CALÇO</v>
      </c>
      <c r="C287" t="str">
        <f>"31842574"</f>
        <v>31842574</v>
      </c>
      <c r="D287" s="9">
        <v>2574</v>
      </c>
      <c r="E287" s="12" t="s">
        <v>13</v>
      </c>
    </row>
    <row r="288" spans="1:5" x14ac:dyDescent="0.25">
      <c r="A288" s="5">
        <v>2</v>
      </c>
      <c r="B288" s="6" t="str">
        <f>"CALÇO - 8241"</f>
        <v>CALÇO - 8241</v>
      </c>
      <c r="C288" s="6" t="str">
        <f>"31848241"</f>
        <v>31848241</v>
      </c>
      <c r="D288" s="10">
        <v>8241</v>
      </c>
      <c r="E288" s="12" t="s">
        <v>13</v>
      </c>
    </row>
    <row r="289" spans="1:5" x14ac:dyDescent="0.25">
      <c r="A289" s="4">
        <v>1</v>
      </c>
      <c r="B289" t="str">
        <f>"CALHA - 2065"</f>
        <v>CALHA - 2065</v>
      </c>
      <c r="C289" t="str">
        <f>"31862065"</f>
        <v>31862065</v>
      </c>
      <c r="D289" s="9">
        <v>2065</v>
      </c>
      <c r="E289" s="12" t="s">
        <v>13</v>
      </c>
    </row>
    <row r="290" spans="1:5" x14ac:dyDescent="0.25">
      <c r="A290" s="5">
        <v>1</v>
      </c>
      <c r="B290" s="6" t="str">
        <f>"CALHA - 2182"</f>
        <v>CALHA - 2182</v>
      </c>
      <c r="C290" s="6" t="str">
        <f>"31862182"</f>
        <v>31862182</v>
      </c>
      <c r="D290" s="10">
        <v>2182</v>
      </c>
      <c r="E290" s="12" t="s">
        <v>13</v>
      </c>
    </row>
    <row r="291" spans="1:5" x14ac:dyDescent="0.25">
      <c r="A291" s="4">
        <v>1</v>
      </c>
      <c r="B291" t="str">
        <f>"CALHA - 5086"</f>
        <v>CALHA - 5086</v>
      </c>
      <c r="C291" t="str">
        <f>"31865086"</f>
        <v>31865086</v>
      </c>
      <c r="D291" s="9">
        <v>5086</v>
      </c>
      <c r="E291" s="12" t="s">
        <v>13</v>
      </c>
    </row>
    <row r="292" spans="1:5" x14ac:dyDescent="0.25">
      <c r="A292" s="5">
        <v>3</v>
      </c>
      <c r="B292" s="6" t="str">
        <f>"CALHA MAQ. 1000 - 8219"</f>
        <v>CALHA MAQ. 1000 - 8219</v>
      </c>
      <c r="C292" s="6" t="str">
        <f>"31868219BE0"</f>
        <v>31868219BE0</v>
      </c>
      <c r="D292" s="10">
        <v>8219</v>
      </c>
      <c r="E292" s="12" t="s">
        <v>13</v>
      </c>
    </row>
    <row r="293" spans="1:5" x14ac:dyDescent="0.25">
      <c r="A293" s="4">
        <v>1</v>
      </c>
      <c r="B293" t="str">
        <f>"CAMISA - 2563"</f>
        <v>CAMISA - 2563</v>
      </c>
      <c r="C293" t="str">
        <f>"31882563"</f>
        <v>31882563</v>
      </c>
      <c r="D293" s="9">
        <v>2563</v>
      </c>
      <c r="E293" s="12" t="s">
        <v>13</v>
      </c>
    </row>
    <row r="294" spans="1:5" x14ac:dyDescent="0.25">
      <c r="A294" s="5">
        <v>2</v>
      </c>
      <c r="B294" s="6" t="str">
        <f>"CAMISA CILINDRO BAIXO ATRITO"</f>
        <v>CAMISA CILINDRO BAIXO ATRITO</v>
      </c>
      <c r="C294" s="6" t="str">
        <f>"31885291"</f>
        <v>31885291</v>
      </c>
      <c r="D294" s="10">
        <v>5291</v>
      </c>
      <c r="E294" s="12" t="s">
        <v>13</v>
      </c>
    </row>
    <row r="295" spans="1:5" x14ac:dyDescent="0.25">
      <c r="A295" s="4">
        <v>8</v>
      </c>
      <c r="B295" t="str">
        <f>"CAMISA - 5961"</f>
        <v>CAMISA - 5961</v>
      </c>
      <c r="C295" t="str">
        <f>"31885961"</f>
        <v>31885961</v>
      </c>
      <c r="D295" s="9">
        <v>5961</v>
      </c>
      <c r="E295" s="12" t="s">
        <v>13</v>
      </c>
    </row>
    <row r="296" spans="1:5" x14ac:dyDescent="0.25">
      <c r="A296" s="5">
        <v>1</v>
      </c>
      <c r="B296" s="6" t="str">
        <f>"CANTONEIRA DIR. - 2286"</f>
        <v>CANTONEIRA DIR. - 2286</v>
      </c>
      <c r="C296" s="6" t="str">
        <f>"31922286"</f>
        <v>31922286</v>
      </c>
      <c r="D296" s="10">
        <v>2286</v>
      </c>
      <c r="E296" s="12" t="s">
        <v>13</v>
      </c>
    </row>
    <row r="297" spans="1:5" x14ac:dyDescent="0.25">
      <c r="A297" s="4">
        <v>1</v>
      </c>
      <c r="B297" t="str">
        <f>"CANTONEIRA ESQ. - 2287"</f>
        <v>CANTONEIRA ESQ. - 2287</v>
      </c>
      <c r="C297" t="str">
        <f>"31922287"</f>
        <v>31922287</v>
      </c>
      <c r="D297" s="9">
        <v>2287</v>
      </c>
      <c r="E297" s="12" t="s">
        <v>13</v>
      </c>
    </row>
    <row r="298" spans="1:5" x14ac:dyDescent="0.25">
      <c r="A298" s="5">
        <v>2</v>
      </c>
      <c r="B298" s="6" t="str">
        <f>"CANTONEIRA - 2462"</f>
        <v>CANTONEIRA - 2462</v>
      </c>
      <c r="C298" s="6" t="str">
        <f>"31922462"</f>
        <v>31922462</v>
      </c>
      <c r="D298" s="10">
        <v>2462</v>
      </c>
      <c r="E298" s="12" t="s">
        <v>13</v>
      </c>
    </row>
    <row r="299" spans="1:5" x14ac:dyDescent="0.25">
      <c r="A299" s="4">
        <v>2</v>
      </c>
      <c r="B299" t="str">
        <f>"CANTONEIRA ESQUERDA"</f>
        <v>CANTONEIRA ESQUERDA</v>
      </c>
      <c r="C299" t="str">
        <f>"31922463"</f>
        <v>31922463</v>
      </c>
      <c r="D299" s="9">
        <v>2463</v>
      </c>
      <c r="E299" s="12" t="s">
        <v>13</v>
      </c>
    </row>
    <row r="300" spans="1:5" x14ac:dyDescent="0.25">
      <c r="A300" s="5">
        <v>4</v>
      </c>
      <c r="B300" s="6" t="str">
        <f>"CARENAGEM - 1921"</f>
        <v>CARENAGEM - 1921</v>
      </c>
      <c r="C300" s="6" t="str">
        <f>"31951921"</f>
        <v>31951921</v>
      </c>
      <c r="D300" s="10">
        <v>1921</v>
      </c>
      <c r="E300" s="12" t="s">
        <v>13</v>
      </c>
    </row>
    <row r="301" spans="1:5" x14ac:dyDescent="0.25">
      <c r="A301" s="4">
        <v>1</v>
      </c>
      <c r="B301" t="str">
        <f>"CARENAGEM - 3777"</f>
        <v>CARENAGEM - 3777</v>
      </c>
      <c r="C301" t="str">
        <f>"31953777"</f>
        <v>31953777</v>
      </c>
      <c r="D301" s="9">
        <v>3777</v>
      </c>
      <c r="E301" s="12" t="s">
        <v>13</v>
      </c>
    </row>
    <row r="302" spans="1:5" x14ac:dyDescent="0.25">
      <c r="A302" s="5">
        <v>1</v>
      </c>
      <c r="B302" s="6" t="str">
        <f>"CARENAGEM - 5146"</f>
        <v>CARENAGEM - 5146</v>
      </c>
      <c r="C302" s="6" t="str">
        <f>"31955146"</f>
        <v>31955146</v>
      </c>
      <c r="D302" s="10">
        <v>5146</v>
      </c>
      <c r="E302" s="12" t="s">
        <v>13</v>
      </c>
    </row>
    <row r="303" spans="1:5" x14ac:dyDescent="0.25">
      <c r="A303" s="4">
        <v>1</v>
      </c>
      <c r="B303" t="str">
        <f>"CARENAGEM - 5148"</f>
        <v>CARENAGEM - 5148</v>
      </c>
      <c r="C303" t="str">
        <f>"31955148"</f>
        <v>31955148</v>
      </c>
      <c r="D303" s="9">
        <v>5148</v>
      </c>
      <c r="E303" s="12" t="s">
        <v>13</v>
      </c>
    </row>
    <row r="304" spans="1:5" x14ac:dyDescent="0.25">
      <c r="A304" s="5">
        <v>1</v>
      </c>
      <c r="B304" s="6" t="str">
        <f>"CARRO PORTA BALDE DE TINTA - 0007"</f>
        <v>CARRO PORTA BALDE DE TINTA - 0007</v>
      </c>
      <c r="C304" s="6" t="str">
        <f>"31970007"</f>
        <v>31970007</v>
      </c>
      <c r="D304" s="10">
        <v>7</v>
      </c>
      <c r="E304" s="12" t="s">
        <v>13</v>
      </c>
    </row>
    <row r="305" spans="1:5" x14ac:dyDescent="0.25">
      <c r="A305" s="4">
        <v>1</v>
      </c>
      <c r="B305" t="str">
        <f>"CARRO MAQ. 1000"</f>
        <v>CARRO MAQ. 1000</v>
      </c>
      <c r="C305" t="str">
        <f>"31970011BE0"</f>
        <v>31970011BE0</v>
      </c>
      <c r="D305" s="9">
        <v>11</v>
      </c>
      <c r="E305" s="12" t="s">
        <v>13</v>
      </c>
    </row>
    <row r="306" spans="1:5" x14ac:dyDescent="0.25">
      <c r="A306" s="5">
        <v>1</v>
      </c>
      <c r="B306" s="6" t="str">
        <f>"CARRO"</f>
        <v>CARRO</v>
      </c>
      <c r="C306" s="6" t="str">
        <f>"31970872"</f>
        <v>31970872</v>
      </c>
      <c r="D306" s="10">
        <v>872</v>
      </c>
      <c r="E306" s="12" t="s">
        <v>13</v>
      </c>
    </row>
    <row r="307" spans="1:5" x14ac:dyDescent="0.25">
      <c r="A307" s="4">
        <v>1</v>
      </c>
      <c r="B307" t="str">
        <f>"CARCAÇA DO VENTILADOR"</f>
        <v>CARCAÇA DO VENTILADOR</v>
      </c>
      <c r="C307" t="str">
        <f>"31983970"</f>
        <v>31983970</v>
      </c>
      <c r="D307" s="9">
        <v>3970</v>
      </c>
      <c r="E307" s="12" t="s">
        <v>13</v>
      </c>
    </row>
    <row r="308" spans="1:5" x14ac:dyDescent="0.25">
      <c r="A308" s="5">
        <v>3</v>
      </c>
      <c r="B308" s="6" t="str">
        <f>"CARCAÇA DO VENTILADOR FLANGE FF"</f>
        <v>CARCAÇA DO VENTILADOR FLANGE FF</v>
      </c>
      <c r="C308" s="6" t="str">
        <f>"31983975"</f>
        <v>31983975</v>
      </c>
      <c r="D308" s="10">
        <v>3975</v>
      </c>
      <c r="E308" s="12" t="s">
        <v>13</v>
      </c>
    </row>
    <row r="309" spans="1:5" x14ac:dyDescent="0.25">
      <c r="A309" s="4">
        <v>1</v>
      </c>
      <c r="B309" t="str">
        <f>"CHAPA SUPERIOR"</f>
        <v>CHAPA SUPERIOR</v>
      </c>
      <c r="C309" t="str">
        <f>"32022181"</f>
        <v>32022181</v>
      </c>
      <c r="D309" s="9">
        <v>2181</v>
      </c>
      <c r="E309" s="12" t="s">
        <v>13</v>
      </c>
    </row>
    <row r="310" spans="1:5" x14ac:dyDescent="0.25">
      <c r="A310" s="5">
        <v>1</v>
      </c>
      <c r="B310" s="6" t="str">
        <f>"CHAPA LATERAL"</f>
        <v>CHAPA LATERAL</v>
      </c>
      <c r="C310" s="6" t="str">
        <f>"32022184"</f>
        <v>32022184</v>
      </c>
      <c r="D310" s="10">
        <v>2184</v>
      </c>
      <c r="E310" s="12" t="s">
        <v>13</v>
      </c>
    </row>
    <row r="311" spans="1:5" x14ac:dyDescent="0.25">
      <c r="A311" s="4">
        <v>2</v>
      </c>
      <c r="B311" t="str">
        <f>"CHAPA DE AÇO - 5508"</f>
        <v>CHAPA DE AÇO - 5508</v>
      </c>
      <c r="C311" t="str">
        <f>"32025508"</f>
        <v>32025508</v>
      </c>
      <c r="D311" s="9">
        <v>5508</v>
      </c>
      <c r="E311" s="12" t="s">
        <v>13</v>
      </c>
    </row>
    <row r="312" spans="1:5" x14ac:dyDescent="0.25">
      <c r="A312" s="5">
        <v>2</v>
      </c>
      <c r="B312" s="6" t="str">
        <f>"CHAPA DE AÇO - 5508V01"</f>
        <v>CHAPA DE AÇO - 5508V01</v>
      </c>
      <c r="C312" s="6" t="str">
        <f>"32025508v01"</f>
        <v>32025508v01</v>
      </c>
      <c r="D312" s="10">
        <v>5508</v>
      </c>
      <c r="E312" s="12" t="s">
        <v>13</v>
      </c>
    </row>
    <row r="313" spans="1:5" x14ac:dyDescent="0.25">
      <c r="A313" s="4">
        <v>1</v>
      </c>
      <c r="B313" t="str">
        <f>"CHAPA DE AÇO - 5509"</f>
        <v>CHAPA DE AÇO - 5509</v>
      </c>
      <c r="C313" t="str">
        <f>"32025509"</f>
        <v>32025509</v>
      </c>
      <c r="D313" s="9">
        <v>5509</v>
      </c>
      <c r="E313" s="12" t="s">
        <v>13</v>
      </c>
    </row>
    <row r="314" spans="1:5" x14ac:dyDescent="0.25">
      <c r="A314" s="5">
        <v>2</v>
      </c>
      <c r="B314" s="6" t="str">
        <f>"CHAPA DE AÇO - 5516"</f>
        <v>CHAPA DE AÇO - 5516</v>
      </c>
      <c r="C314" s="6" t="str">
        <f>"32025516"</f>
        <v>32025516</v>
      </c>
      <c r="D314" s="10">
        <v>5516</v>
      </c>
      <c r="E314" s="12" t="s">
        <v>13</v>
      </c>
    </row>
    <row r="315" spans="1:5" x14ac:dyDescent="0.25">
      <c r="A315" s="4">
        <v>1</v>
      </c>
      <c r="B315" t="str">
        <f>"CHAPA DE AÇO - 5701"</f>
        <v>CHAPA DE AÇO - 5701</v>
      </c>
      <c r="C315" t="str">
        <f>"32025701"</f>
        <v>32025701</v>
      </c>
      <c r="D315" s="9">
        <v>5701</v>
      </c>
      <c r="E315" s="12" t="s">
        <v>13</v>
      </c>
    </row>
    <row r="316" spans="1:5" x14ac:dyDescent="0.25">
      <c r="A316" s="5">
        <v>6</v>
      </c>
      <c r="B316" s="6" t="str">
        <f>"CHAPA DE REVESTIMENTO MAQ 1000"</f>
        <v>CHAPA DE REVESTIMENTO MAQ 1000</v>
      </c>
      <c r="C316" s="6" t="str">
        <f>"32025753BE0"</f>
        <v>32025753BE0</v>
      </c>
      <c r="D316" s="10">
        <v>5753</v>
      </c>
      <c r="E316" s="12" t="s">
        <v>13</v>
      </c>
    </row>
    <row r="317" spans="1:5" x14ac:dyDescent="0.25">
      <c r="A317" s="4">
        <v>19</v>
      </c>
      <c r="B317" t="str">
        <f>"CHAPA - 5856"</f>
        <v>CHAPA - 5856</v>
      </c>
      <c r="C317" t="str">
        <f>"32025856"</f>
        <v>32025856</v>
      </c>
      <c r="D317" s="9">
        <v>5856</v>
      </c>
      <c r="E317" s="12" t="s">
        <v>13</v>
      </c>
    </row>
    <row r="318" spans="1:5" x14ac:dyDescent="0.25">
      <c r="A318" s="5">
        <v>1</v>
      </c>
      <c r="B318" s="6" t="str">
        <f>"CHAPA DE FECHAMENTO"</f>
        <v>CHAPA DE FECHAMENTO</v>
      </c>
      <c r="C318" s="6" t="str">
        <f>"32028182"</f>
        <v>32028182</v>
      </c>
      <c r="D318" s="10">
        <v>8182</v>
      </c>
      <c r="E318" s="12" t="s">
        <v>13</v>
      </c>
    </row>
    <row r="319" spans="1:5" x14ac:dyDescent="0.25">
      <c r="A319" s="4">
        <v>2</v>
      </c>
      <c r="B319" t="str">
        <f>"CHAPA DE FECHAMENTO"</f>
        <v>CHAPA DE FECHAMENTO</v>
      </c>
      <c r="C319" t="str">
        <f>"32028228"</f>
        <v>32028228</v>
      </c>
      <c r="D319" s="9">
        <v>8228</v>
      </c>
      <c r="E319" s="12" t="s">
        <v>13</v>
      </c>
    </row>
    <row r="320" spans="1:5" x14ac:dyDescent="0.25">
      <c r="A320" s="5">
        <v>4</v>
      </c>
      <c r="B320" s="6" t="str">
        <f>"CHAVE 37,5"</f>
        <v>CHAVE 37,5</v>
      </c>
      <c r="C320" s="6" t="str">
        <f>"3204T0253"</f>
        <v>3204T0253</v>
      </c>
      <c r="D320" s="10" t="s">
        <v>10</v>
      </c>
      <c r="E320" s="12" t="s">
        <v>13</v>
      </c>
    </row>
    <row r="321" spans="1:5" x14ac:dyDescent="0.25">
      <c r="A321" s="4">
        <v>4</v>
      </c>
      <c r="B321" t="str">
        <f>"CHAVE 25"</f>
        <v>CHAVE 25</v>
      </c>
      <c r="C321" t="str">
        <f>"3204T0254"</f>
        <v>3204T0254</v>
      </c>
      <c r="D321" s="9" t="s">
        <v>10</v>
      </c>
      <c r="E321" s="12" t="s">
        <v>13</v>
      </c>
    </row>
    <row r="322" spans="1:5" x14ac:dyDescent="0.25">
      <c r="A322" s="5">
        <v>2</v>
      </c>
      <c r="B322" s="6" t="str">
        <f>"CAVALETE BOMBA SMC  8224"</f>
        <v>CAVALETE BOMBA SMC  8224</v>
      </c>
      <c r="C322" s="6" t="str">
        <f>"32058224"</f>
        <v>32058224</v>
      </c>
      <c r="D322" s="10">
        <v>8224</v>
      </c>
      <c r="E322" s="12" t="s">
        <v>13</v>
      </c>
    </row>
    <row r="323" spans="1:5" x14ac:dyDescent="0.25">
      <c r="A323" s="4">
        <v>1</v>
      </c>
      <c r="B323" t="str">
        <f>"CHAVETA  RETA AB   8  X 10 X 55 mm"</f>
        <v>CHAVETA  RETA AB   8  X 10 X 55 mm</v>
      </c>
      <c r="C323" t="str">
        <f>"32060532"</f>
        <v>32060532</v>
      </c>
      <c r="D323" s="9">
        <v>532</v>
      </c>
      <c r="E323" s="12" t="s">
        <v>13</v>
      </c>
    </row>
    <row r="324" spans="1:5" x14ac:dyDescent="0.25">
      <c r="A324" s="5">
        <v>4</v>
      </c>
      <c r="B324" s="6" t="str">
        <f>"CHAVETA  8 X 10 X 40 MM"</f>
        <v>CHAVETA  8 X 10 X 40 MM</v>
      </c>
      <c r="C324" s="6" t="str">
        <f>"32060590"</f>
        <v>32060590</v>
      </c>
      <c r="D324" s="10">
        <v>590</v>
      </c>
      <c r="E324" s="12" t="s">
        <v>13</v>
      </c>
    </row>
    <row r="325" spans="1:5" x14ac:dyDescent="0.25">
      <c r="A325" s="4">
        <v>8</v>
      </c>
      <c r="B325" t="str">
        <f>"CHAVETA RETA AB - 8x12x35mm"</f>
        <v>CHAVETA RETA AB - 8x12x35mm</v>
      </c>
      <c r="C325" t="str">
        <f>"32060609"</f>
        <v>32060609</v>
      </c>
      <c r="D325" s="9">
        <v>609</v>
      </c>
      <c r="E325" s="12" t="s">
        <v>13</v>
      </c>
    </row>
    <row r="326" spans="1:5" x14ac:dyDescent="0.25">
      <c r="A326" s="5">
        <v>32</v>
      </c>
      <c r="B326" s="6" t="str">
        <f>"CHAVETA 8x10x35mm"</f>
        <v>CHAVETA 8x10x35mm</v>
      </c>
      <c r="C326" s="6" t="str">
        <f>"32060611"</f>
        <v>32060611</v>
      </c>
      <c r="D326" s="10">
        <v>611</v>
      </c>
      <c r="E326" s="12" t="s">
        <v>13</v>
      </c>
    </row>
    <row r="327" spans="1:5" x14ac:dyDescent="0.25">
      <c r="A327" s="4">
        <v>72</v>
      </c>
      <c r="B327" t="str">
        <f>"CHAVETA   5 X 5 x 19 mm"</f>
        <v>CHAVETA   5 X 5 x 19 mm</v>
      </c>
      <c r="C327" t="str">
        <f>"32060724"</f>
        <v>32060724</v>
      </c>
      <c r="D327" s="9">
        <v>724</v>
      </c>
      <c r="E327" s="12" t="s">
        <v>13</v>
      </c>
    </row>
    <row r="328" spans="1:5" x14ac:dyDescent="0.25">
      <c r="A328" s="5">
        <v>4</v>
      </c>
      <c r="B328" s="6" t="str">
        <f>"CHAVETA RETA A - 6 X 6 X 18"</f>
        <v>CHAVETA RETA A - 6 X 6 X 18</v>
      </c>
      <c r="C328" s="6" t="str">
        <f>"32061046V02"</f>
        <v>32061046V02</v>
      </c>
      <c r="D328" s="10">
        <v>1046</v>
      </c>
      <c r="E328" s="12" t="s">
        <v>13</v>
      </c>
    </row>
    <row r="329" spans="1:5" x14ac:dyDescent="0.25">
      <c r="A329" s="4">
        <v>8</v>
      </c>
      <c r="B329" t="str">
        <f>"CHAVETA A - 7 X 8 X 40"</f>
        <v>CHAVETA A - 7 X 8 X 40</v>
      </c>
      <c r="C329" t="str">
        <f>"32061263"</f>
        <v>32061263</v>
      </c>
      <c r="D329" s="9">
        <v>1263</v>
      </c>
      <c r="E329" s="12" t="s">
        <v>13</v>
      </c>
    </row>
    <row r="330" spans="1:5" x14ac:dyDescent="0.25">
      <c r="A330" s="5">
        <v>8</v>
      </c>
      <c r="B330" s="6" t="str">
        <f>"CHAVETA 6 X 6 X 30"</f>
        <v>CHAVETA 6 X 6 X 30</v>
      </c>
      <c r="C330" s="6" t="str">
        <f>"32061725"</f>
        <v>32061725</v>
      </c>
      <c r="D330" s="10">
        <v>1725</v>
      </c>
      <c r="E330" s="12" t="s">
        <v>13</v>
      </c>
    </row>
    <row r="331" spans="1:5" x14ac:dyDescent="0.25">
      <c r="A331" s="4">
        <v>2</v>
      </c>
      <c r="B331" t="str">
        <f>"CHAVETA RETA A - 8 X 12 X 45"</f>
        <v>CHAVETA RETA A - 8 X 12 X 45</v>
      </c>
      <c r="C331" t="str">
        <f>"32061983"</f>
        <v>32061983</v>
      </c>
      <c r="D331" s="9">
        <v>1983</v>
      </c>
      <c r="E331" s="12" t="s">
        <v>13</v>
      </c>
    </row>
    <row r="332" spans="1:5" x14ac:dyDescent="0.25">
      <c r="A332" s="5">
        <v>2</v>
      </c>
      <c r="B332" s="6" t="str">
        <f>"CHAVETA RETA AB - 14 X 9 X 28"</f>
        <v>CHAVETA RETA AB - 14 X 9 X 28</v>
      </c>
      <c r="C332" s="6" t="str">
        <f>"32061984"</f>
        <v>32061984</v>
      </c>
      <c r="D332" s="10">
        <v>1984</v>
      </c>
      <c r="E332" s="12" t="s">
        <v>13</v>
      </c>
    </row>
    <row r="333" spans="1:5" x14ac:dyDescent="0.25">
      <c r="A333" s="4">
        <v>1</v>
      </c>
      <c r="B333" t="str">
        <f>"CILINDRO EMBORRACHADO MÁQ. 1000"</f>
        <v>CILINDRO EMBORRACHADO MÁQ. 1000</v>
      </c>
      <c r="C333" t="str">
        <f>"32120663BE0"</f>
        <v>32120663BE0</v>
      </c>
      <c r="D333" s="9">
        <v>663</v>
      </c>
      <c r="E333" s="12" t="s">
        <v>13</v>
      </c>
    </row>
    <row r="334" spans="1:5" x14ac:dyDescent="0.25">
      <c r="A334" s="5">
        <v>1</v>
      </c>
      <c r="B334" s="6" t="str">
        <f>"CILINDRO EMBORRACHADO MÁQ. 1000"</f>
        <v>CILINDRO EMBORRACHADO MÁQ. 1000</v>
      </c>
      <c r="C334" s="6" t="str">
        <f>"32120663BE0F15"</f>
        <v>32120663BE0F15</v>
      </c>
      <c r="D334" s="10">
        <v>663</v>
      </c>
      <c r="E334" s="12" t="s">
        <v>13</v>
      </c>
    </row>
    <row r="335" spans="1:5" x14ac:dyDescent="0.25">
      <c r="A335" s="4">
        <v>1</v>
      </c>
      <c r="B335" t="str">
        <f>"CILINDRO EMBORRACHADO MÁQ. 1000"</f>
        <v>CILINDRO EMBORRACHADO MÁQ. 1000</v>
      </c>
      <c r="C335" t="str">
        <f>"32120960BE0"</f>
        <v>32120960BE0</v>
      </c>
      <c r="D335" s="9">
        <v>960</v>
      </c>
      <c r="E335" s="12" t="s">
        <v>13</v>
      </c>
    </row>
    <row r="336" spans="1:5" x14ac:dyDescent="0.25">
      <c r="A336" s="5">
        <v>1</v>
      </c>
      <c r="B336" s="6" t="str">
        <f>"CILINDRO EMBORRACHADO MÁQ. 1000"</f>
        <v>CILINDRO EMBORRACHADO MÁQ. 1000</v>
      </c>
      <c r="C336" s="6" t="str">
        <f>"32120960BE0F15"</f>
        <v>32120960BE0F15</v>
      </c>
      <c r="D336" s="10">
        <v>960</v>
      </c>
      <c r="E336" s="12" t="s">
        <v>13</v>
      </c>
    </row>
    <row r="337" spans="1:5" x14ac:dyDescent="0.25">
      <c r="A337" s="4">
        <v>1</v>
      </c>
      <c r="B337" t="str">
        <f>"CILINDRO CENTRAL BETA 8 - MAQ. 1000 - 8001"</f>
        <v>CILINDRO CENTRAL BETA 8 - MAQ. 1000 - 8001</v>
      </c>
      <c r="C337" t="str">
        <f>"32128001ZE8"</f>
        <v>32128001ZE8</v>
      </c>
      <c r="D337" s="9">
        <v>8001</v>
      </c>
      <c r="E337" s="12" t="s">
        <v>13</v>
      </c>
    </row>
    <row r="338" spans="1:5" x14ac:dyDescent="0.25">
      <c r="A338" s="5">
        <v>1</v>
      </c>
      <c r="B338" s="6" t="str">
        <f>"CILINDRO CENTRAL BETA 8 - MAQ. 1000 - FAB. INICIAL - 8001"</f>
        <v>CILINDRO CENTRAL BETA 8 - MAQ. 1000 - FAB. INICIAL - 8001</v>
      </c>
      <c r="C338" s="6" t="str">
        <f>"32128001ZE8F"</f>
        <v>32128001ZE8F</v>
      </c>
      <c r="D338" s="10">
        <v>8001</v>
      </c>
      <c r="E338" s="12" t="s">
        <v>13</v>
      </c>
    </row>
    <row r="339" spans="1:5" x14ac:dyDescent="0.25">
      <c r="A339" s="4">
        <v>1</v>
      </c>
      <c r="B339" t="str">
        <f>"CILINDRO CENTRAL BETA 8 - MAQ. 1000 - 8001F2"</f>
        <v>CILINDRO CENTRAL BETA 8 - MAQ. 1000 - 8001F2</v>
      </c>
      <c r="C339" t="str">
        <f>"32128001ZE8F2"</f>
        <v>32128001ZE8F2</v>
      </c>
      <c r="D339" s="9">
        <v>8001</v>
      </c>
      <c r="E339" s="12" t="s">
        <v>13</v>
      </c>
    </row>
    <row r="340" spans="1:5" x14ac:dyDescent="0.25">
      <c r="A340" s="5">
        <v>12</v>
      </c>
      <c r="B340" s="6" t="str">
        <f>"COLETOR ESQUERDO - 8069"</f>
        <v>COLETOR ESQUERDO - 8069</v>
      </c>
      <c r="C340" s="6" t="str">
        <f>"32188069"</f>
        <v>32188069</v>
      </c>
      <c r="D340" s="10">
        <v>8069</v>
      </c>
      <c r="E340" s="12" t="s">
        <v>13</v>
      </c>
    </row>
    <row r="341" spans="1:5" x14ac:dyDescent="0.25">
      <c r="A341" s="4">
        <v>12</v>
      </c>
      <c r="B341" t="str">
        <f>"COLETOR DIREITO - 8070"</f>
        <v>COLETOR DIREITO - 8070</v>
      </c>
      <c r="C341" t="str">
        <f>"32188070"</f>
        <v>32188070</v>
      </c>
      <c r="D341" s="9">
        <v>8070</v>
      </c>
      <c r="E341" s="12" t="s">
        <v>13</v>
      </c>
    </row>
    <row r="342" spans="1:5" x14ac:dyDescent="0.25">
      <c r="A342" s="5">
        <v>2</v>
      </c>
      <c r="B342" s="6" t="str">
        <f>"COLUNA ESQUERDA - 8184"</f>
        <v>COLUNA ESQUERDA - 8184</v>
      </c>
      <c r="C342" s="6" t="str">
        <f>"32208184"</f>
        <v>32208184</v>
      </c>
      <c r="D342" s="10">
        <v>8184</v>
      </c>
      <c r="E342" s="12" t="s">
        <v>13</v>
      </c>
    </row>
    <row r="343" spans="1:5" x14ac:dyDescent="0.25">
      <c r="A343" s="4">
        <v>2</v>
      </c>
      <c r="B343" t="str">
        <f>"COLUNA DIREITA - 8185"</f>
        <v>COLUNA DIREITA - 8185</v>
      </c>
      <c r="C343" t="str">
        <f>"32208185"</f>
        <v>32208185</v>
      </c>
      <c r="D343" s="9">
        <v>8185</v>
      </c>
      <c r="E343" s="12" t="s">
        <v>13</v>
      </c>
    </row>
    <row r="344" spans="1:5" x14ac:dyDescent="0.25">
      <c r="A344" s="5">
        <v>1</v>
      </c>
      <c r="B344" s="6" t="str">
        <f>"CONTRA PESO MAQ. 1000 mm"</f>
        <v>CONTRA PESO MAQ. 1000 mm</v>
      </c>
      <c r="C344" s="6" t="str">
        <f>"32371963BE0"</f>
        <v>32371963BE0</v>
      </c>
      <c r="D344" s="10">
        <v>1963</v>
      </c>
      <c r="E344" s="12" t="s">
        <v>13</v>
      </c>
    </row>
    <row r="345" spans="1:5" x14ac:dyDescent="0.25">
      <c r="A345" s="4">
        <v>1</v>
      </c>
      <c r="B345" t="str">
        <f>"CONTRA PESO DA BALANÇA MAQ. 1000 mm"</f>
        <v>CONTRA PESO DA BALANÇA MAQ. 1000 mm</v>
      </c>
      <c r="C345" t="str">
        <f>"32375223BE0"</f>
        <v>32375223BE0</v>
      </c>
      <c r="D345" s="9">
        <v>5223</v>
      </c>
      <c r="E345" s="12" t="s">
        <v>13</v>
      </c>
    </row>
    <row r="346" spans="1:5" x14ac:dyDescent="0.25">
      <c r="A346" s="5">
        <v>1</v>
      </c>
      <c r="B346" s="6" t="str">
        <f>"CONTRA PESO MÁQ. 1000"</f>
        <v>CONTRA PESO MÁQ. 1000</v>
      </c>
      <c r="C346" s="6" t="str">
        <f>"32375721BE0"</f>
        <v>32375721BE0</v>
      </c>
      <c r="D346" s="10">
        <v>5721</v>
      </c>
      <c r="E346" s="12" t="s">
        <v>13</v>
      </c>
    </row>
    <row r="347" spans="1:5" x14ac:dyDescent="0.25">
      <c r="A347" s="4">
        <v>1</v>
      </c>
      <c r="B347" t="str">
        <f>"CONTRA PESO DA BALANÇA MAQ. 1000 mm - 8021"</f>
        <v>CONTRA PESO DA BALANÇA MAQ. 1000 mm - 8021</v>
      </c>
      <c r="C347" t="str">
        <f>"32378021ZE0"</f>
        <v>32378021ZE0</v>
      </c>
      <c r="D347" s="9">
        <v>8021</v>
      </c>
      <c r="E347" s="12" t="s">
        <v>13</v>
      </c>
    </row>
    <row r="348" spans="1:5" x14ac:dyDescent="0.25">
      <c r="A348" s="5">
        <v>8</v>
      </c>
      <c r="B348" s="6" t="str">
        <f>"COPO 5978"</f>
        <v>COPO 5978</v>
      </c>
      <c r="C348" s="6" t="str">
        <f>"32445978"</f>
        <v>32445978</v>
      </c>
      <c r="D348" s="10">
        <v>5978</v>
      </c>
      <c r="E348" s="12" t="s">
        <v>13</v>
      </c>
    </row>
    <row r="349" spans="1:5" x14ac:dyDescent="0.25">
      <c r="A349" s="4">
        <v>1</v>
      </c>
      <c r="B349" t="str">
        <f>"CORRIMAO - 8285"</f>
        <v>CORRIMAO - 8285</v>
      </c>
      <c r="C349" t="str">
        <f>"32508285"</f>
        <v>32508285</v>
      </c>
      <c r="D349" s="9">
        <v>8285</v>
      </c>
      <c r="E349" s="12" t="s">
        <v>13</v>
      </c>
    </row>
    <row r="350" spans="1:5" x14ac:dyDescent="0.25">
      <c r="A350" s="5">
        <v>1</v>
      </c>
      <c r="B350" s="6" t="str">
        <f>"CORRIMAO MAQ 1000 - 8286"</f>
        <v>CORRIMAO MAQ 1000 - 8286</v>
      </c>
      <c r="C350" s="6" t="str">
        <f>"32508286ZE0"</f>
        <v>32508286ZE0</v>
      </c>
      <c r="D350" s="10">
        <v>8286</v>
      </c>
      <c r="E350" s="12" t="s">
        <v>13</v>
      </c>
    </row>
    <row r="351" spans="1:5" x14ac:dyDescent="0.25">
      <c r="A351" s="4">
        <v>1</v>
      </c>
      <c r="B351" t="str">
        <f>"CORRIMAO - 8287"</f>
        <v>CORRIMAO - 8287</v>
      </c>
      <c r="C351" t="str">
        <f>"32508287"</f>
        <v>32508287</v>
      </c>
      <c r="D351" s="9">
        <v>8287</v>
      </c>
      <c r="E351" s="12" t="s">
        <v>13</v>
      </c>
    </row>
    <row r="352" spans="1:5" x14ac:dyDescent="0.25">
      <c r="A352" s="5">
        <v>1</v>
      </c>
      <c r="B352" s="6" t="str">
        <f>"CORRIMAO - 8288"</f>
        <v>CORRIMAO - 8288</v>
      </c>
      <c r="C352" s="6" t="str">
        <f>"32508288"</f>
        <v>32508288</v>
      </c>
      <c r="D352" s="10">
        <v>8288</v>
      </c>
      <c r="E352" s="12" t="s">
        <v>13</v>
      </c>
    </row>
    <row r="353" spans="1:5" x14ac:dyDescent="0.25">
      <c r="A353" s="4">
        <v>1</v>
      </c>
      <c r="B353" t="str">
        <f>"CORRIMAO - 8289"</f>
        <v>CORRIMAO - 8289</v>
      </c>
      <c r="C353" t="str">
        <f>"32508289"</f>
        <v>32508289</v>
      </c>
      <c r="D353" s="9">
        <v>8289</v>
      </c>
      <c r="E353" s="12" t="s">
        <v>13</v>
      </c>
    </row>
    <row r="354" spans="1:5" x14ac:dyDescent="0.25">
      <c r="A354" s="5">
        <v>1</v>
      </c>
      <c r="B354" s="6" t="str">
        <f>"CUBO DO ROTOR - 3974"</f>
        <v>CUBO DO ROTOR - 3974</v>
      </c>
      <c r="C354" s="6" t="str">
        <f>"32563974"</f>
        <v>32563974</v>
      </c>
      <c r="D354" s="10">
        <v>3974</v>
      </c>
      <c r="E354" s="12" t="s">
        <v>13</v>
      </c>
    </row>
    <row r="355" spans="1:5" x14ac:dyDescent="0.25">
      <c r="A355" s="4">
        <v>3</v>
      </c>
      <c r="B355" t="str">
        <f>"CUBO DO ROTOR - 3990"</f>
        <v>CUBO DO ROTOR - 3990</v>
      </c>
      <c r="C355" t="str">
        <f>"32563990"</f>
        <v>32563990</v>
      </c>
      <c r="D355" s="9">
        <v>3990</v>
      </c>
      <c r="E355" s="12" t="s">
        <v>13</v>
      </c>
    </row>
    <row r="356" spans="1:5" x14ac:dyDescent="0.25">
      <c r="A356" s="5">
        <v>2</v>
      </c>
      <c r="B356" s="6" t="str">
        <f>"CUBO"</f>
        <v>CUBO</v>
      </c>
      <c r="C356" s="6" t="str">
        <f>"32566328"</f>
        <v>32566328</v>
      </c>
      <c r="D356" s="10">
        <v>6328</v>
      </c>
      <c r="E356" s="12" t="s">
        <v>13</v>
      </c>
    </row>
    <row r="357" spans="1:5" x14ac:dyDescent="0.25">
      <c r="A357" s="4">
        <v>1</v>
      </c>
      <c r="B357" t="str">
        <f>"CURVA DE SOPRO"</f>
        <v>CURVA DE SOPRO</v>
      </c>
      <c r="C357" t="str">
        <f>"32582582"</f>
        <v>32582582</v>
      </c>
      <c r="D357" s="9">
        <v>2582</v>
      </c>
      <c r="E357" s="12" t="s">
        <v>13</v>
      </c>
    </row>
    <row r="358" spans="1:5" x14ac:dyDescent="0.25">
      <c r="A358" s="5">
        <v>1</v>
      </c>
      <c r="B358" s="6" t="str">
        <f>"CURVA DE EXAUSTAO - 8256"</f>
        <v>CURVA DE EXAUSTAO - 8256</v>
      </c>
      <c r="C358" s="6" t="str">
        <f>"32588256"</f>
        <v>32588256</v>
      </c>
      <c r="D358" s="10">
        <v>8256</v>
      </c>
      <c r="E358" s="12" t="s">
        <v>13</v>
      </c>
    </row>
    <row r="359" spans="1:5" x14ac:dyDescent="0.25">
      <c r="A359" s="4">
        <v>2</v>
      </c>
      <c r="B359" t="str">
        <f>"DEPOSITO MÁQ. 1000"</f>
        <v>DEPOSITO MÁQ. 1000</v>
      </c>
      <c r="C359" t="str">
        <f>"32641623BE0"</f>
        <v>32641623BE0</v>
      </c>
      <c r="D359" s="9">
        <v>1623</v>
      </c>
      <c r="E359" s="12" t="s">
        <v>13</v>
      </c>
    </row>
    <row r="360" spans="1:5" x14ac:dyDescent="0.25">
      <c r="A360" s="5">
        <v>4</v>
      </c>
      <c r="B360" s="6" t="str">
        <f>"DEPOSITO DE TINTA  ZETA 1000 - 8073"</f>
        <v>DEPOSITO DE TINTA  ZETA 1000 - 8073</v>
      </c>
      <c r="C360" s="6" t="str">
        <f>"32648073ZE0"</f>
        <v>32648073ZE0</v>
      </c>
      <c r="D360" s="10">
        <v>8073</v>
      </c>
      <c r="E360" s="12" t="s">
        <v>13</v>
      </c>
    </row>
    <row r="361" spans="1:5" x14ac:dyDescent="0.25">
      <c r="A361" s="4">
        <v>8</v>
      </c>
      <c r="B361" t="str">
        <f>"DEPOSITO DE TINTA  ZETA 1000 - 8074"</f>
        <v>DEPOSITO DE TINTA  ZETA 1000 - 8074</v>
      </c>
      <c r="C361" t="str">
        <f>"32648074ZE0"</f>
        <v>32648074ZE0</v>
      </c>
      <c r="D361" s="9">
        <v>8074</v>
      </c>
      <c r="E361" s="12" t="s">
        <v>13</v>
      </c>
    </row>
    <row r="362" spans="1:5" x14ac:dyDescent="0.25">
      <c r="A362" s="5">
        <v>4</v>
      </c>
      <c r="B362" s="6" t="str">
        <f>"DISCO (ESQ.)"</f>
        <v>DISCO (ESQ.)</v>
      </c>
      <c r="C362" s="6" t="str">
        <f>"32720235V01"</f>
        <v>32720235V01</v>
      </c>
      <c r="D362" s="10">
        <v>235</v>
      </c>
      <c r="E362" s="12" t="s">
        <v>13</v>
      </c>
    </row>
    <row r="363" spans="1:5" x14ac:dyDescent="0.25">
      <c r="A363" s="4">
        <v>4</v>
      </c>
      <c r="B363" t="str">
        <f>"DISCO (DIR.)"</f>
        <v>DISCO (DIR.)</v>
      </c>
      <c r="C363" t="str">
        <f>"32720235V02"</f>
        <v>32720235V02</v>
      </c>
      <c r="D363" s="9">
        <v>235</v>
      </c>
      <c r="E363" s="12" t="s">
        <v>13</v>
      </c>
    </row>
    <row r="364" spans="1:5" x14ac:dyDescent="0.25">
      <c r="A364" s="5">
        <v>2</v>
      </c>
      <c r="B364" s="6" t="str">
        <f>"DISCO"</f>
        <v>DISCO</v>
      </c>
      <c r="C364" s="6" t="str">
        <f>"32721938"</f>
        <v>32721938</v>
      </c>
      <c r="D364" s="10">
        <v>1938</v>
      </c>
      <c r="E364" s="12" t="s">
        <v>13</v>
      </c>
    </row>
    <row r="365" spans="1:5" x14ac:dyDescent="0.25">
      <c r="A365" s="4">
        <v>2</v>
      </c>
      <c r="B365" t="str">
        <f>"DOBRADIÇA SECAGEM - 8243"</f>
        <v>DOBRADIÇA SECAGEM - 8243</v>
      </c>
      <c r="C365" t="str">
        <f>"32808243"</f>
        <v>32808243</v>
      </c>
      <c r="D365" s="9">
        <v>8243</v>
      </c>
      <c r="E365" s="12" t="s">
        <v>13</v>
      </c>
    </row>
    <row r="366" spans="1:5" x14ac:dyDescent="0.25">
      <c r="A366" s="5">
        <v>2</v>
      </c>
      <c r="B366" s="6" t="str">
        <f>"DUTO DISTRIBUIDOR EC"</f>
        <v>DUTO DISTRIBUIDOR EC</v>
      </c>
      <c r="C366" s="6" t="str">
        <f>"32842578"</f>
        <v>32842578</v>
      </c>
      <c r="D366" s="10">
        <v>2578</v>
      </c>
      <c r="E366" s="12" t="s">
        <v>13</v>
      </c>
    </row>
    <row r="367" spans="1:5" x14ac:dyDescent="0.25">
      <c r="A367" s="4">
        <v>1</v>
      </c>
      <c r="B367" t="str">
        <f>"DUTO - 2583"</f>
        <v>DUTO - 2583</v>
      </c>
      <c r="C367" t="str">
        <f>"32842583"</f>
        <v>32842583</v>
      </c>
      <c r="D367" s="9">
        <v>2583</v>
      </c>
      <c r="E367" s="12" t="s">
        <v>13</v>
      </c>
    </row>
    <row r="368" spans="1:5" x14ac:dyDescent="0.25">
      <c r="A368" s="5">
        <v>1</v>
      </c>
      <c r="B368" s="6" t="str">
        <f>"DUTO EXAUSTOR FINAL MÁQ 1000 - 8247"</f>
        <v>DUTO EXAUSTOR FINAL MÁQ 1000 - 8247</v>
      </c>
      <c r="C368" s="6" t="str">
        <f>"32848247ZE0"</f>
        <v>32848247ZE0</v>
      </c>
      <c r="D368" s="10">
        <v>8247</v>
      </c>
      <c r="E368" s="12" t="s">
        <v>13</v>
      </c>
    </row>
    <row r="369" spans="1:5" x14ac:dyDescent="0.25">
      <c r="A369" s="4">
        <v>1</v>
      </c>
      <c r="B369" t="str">
        <f>"DUTO - 8249"</f>
        <v>DUTO - 8249</v>
      </c>
      <c r="C369" t="str">
        <f>"32848249"</f>
        <v>32848249</v>
      </c>
      <c r="D369" s="9">
        <v>8249</v>
      </c>
      <c r="E369" s="12" t="s">
        <v>13</v>
      </c>
    </row>
    <row r="370" spans="1:5" x14ac:dyDescent="0.25">
      <c r="A370" s="5">
        <v>1</v>
      </c>
      <c r="B370" s="6" t="str">
        <f>"DUTO MÁQ. 1000 - 8254"</f>
        <v>DUTO MÁQ. 1000 - 8254</v>
      </c>
      <c r="C370" s="6" t="str">
        <f>"32848254ZE0"</f>
        <v>32848254ZE0</v>
      </c>
      <c r="D370" s="10">
        <v>8254</v>
      </c>
      <c r="E370" s="12" t="s">
        <v>13</v>
      </c>
    </row>
    <row r="371" spans="1:5" x14ac:dyDescent="0.25">
      <c r="A371" s="4">
        <v>4</v>
      </c>
      <c r="B371" t="str">
        <f>"EIXO - 0232"</f>
        <v>EIXO - 0232</v>
      </c>
      <c r="C371" t="str">
        <f>"32900232"</f>
        <v>32900232</v>
      </c>
      <c r="D371" s="9">
        <v>232</v>
      </c>
      <c r="E371" s="12" t="s">
        <v>13</v>
      </c>
    </row>
    <row r="372" spans="1:5" x14ac:dyDescent="0.25">
      <c r="A372" s="5">
        <v>4</v>
      </c>
      <c r="B372" s="6" t="str">
        <f>"EIXO - 0233"</f>
        <v>EIXO - 0233</v>
      </c>
      <c r="C372" s="6" t="str">
        <f>"32900233"</f>
        <v>32900233</v>
      </c>
      <c r="D372" s="10">
        <v>233</v>
      </c>
      <c r="E372" s="12" t="s">
        <v>13</v>
      </c>
    </row>
    <row r="373" spans="1:5" x14ac:dyDescent="0.25">
      <c r="A373" s="4">
        <v>2</v>
      </c>
      <c r="B373" t="str">
        <f>"EIXO - 0277"</f>
        <v>EIXO - 0277</v>
      </c>
      <c r="C373" t="str">
        <f>"32900277"</f>
        <v>32900277</v>
      </c>
      <c r="D373" s="9">
        <v>277</v>
      </c>
      <c r="E373" s="12" t="s">
        <v>13</v>
      </c>
    </row>
    <row r="374" spans="1:5" x14ac:dyDescent="0.25">
      <c r="A374" s="5">
        <v>4</v>
      </c>
      <c r="B374" s="6" t="str">
        <f>"EIXO A = 27"</f>
        <v>EIXO A = 27</v>
      </c>
      <c r="C374" s="6" t="str">
        <f>"32900781V02"</f>
        <v>32900781V02</v>
      </c>
      <c r="D374" s="10">
        <v>781</v>
      </c>
      <c r="E374" s="12" t="s">
        <v>13</v>
      </c>
    </row>
    <row r="375" spans="1:5" x14ac:dyDescent="0.25">
      <c r="A375" s="4">
        <v>2</v>
      </c>
      <c r="B375" t="str">
        <f>"EIXO MÁQ. 1000"</f>
        <v>EIXO MÁQ. 1000</v>
      </c>
      <c r="C375" t="str">
        <f>"32900893BE0"</f>
        <v>32900893BE0</v>
      </c>
      <c r="D375" s="9">
        <v>893</v>
      </c>
      <c r="E375" s="12" t="s">
        <v>13</v>
      </c>
    </row>
    <row r="376" spans="1:5" x14ac:dyDescent="0.25">
      <c r="A376" s="5">
        <v>1</v>
      </c>
      <c r="B376" s="6" t="str">
        <f>"EIXO  MAQ. 1000"</f>
        <v>EIXO  MAQ. 1000</v>
      </c>
      <c r="C376" s="6" t="str">
        <f>"32900894BE0"</f>
        <v>32900894BE0</v>
      </c>
      <c r="D376" s="10">
        <v>894</v>
      </c>
      <c r="E376" s="12" t="s">
        <v>13</v>
      </c>
    </row>
    <row r="377" spans="1:5" x14ac:dyDescent="0.25">
      <c r="A377" s="4">
        <v>2</v>
      </c>
      <c r="B377" t="str">
        <f>"EIXO - 0952"</f>
        <v>EIXO - 0952</v>
      </c>
      <c r="C377" t="str">
        <f>"32900952"</f>
        <v>32900952</v>
      </c>
      <c r="D377" s="9">
        <v>952</v>
      </c>
      <c r="E377" s="12" t="s">
        <v>13</v>
      </c>
    </row>
    <row r="378" spans="1:5" x14ac:dyDescent="0.25">
      <c r="A378" s="5">
        <v>2</v>
      </c>
      <c r="B378" s="6" t="str">
        <f>"EIXO DO SENSOR"</f>
        <v>EIXO DO SENSOR</v>
      </c>
      <c r="C378" s="6" t="str">
        <f>"32901664"</f>
        <v>32901664</v>
      </c>
      <c r="D378" s="10">
        <v>1664</v>
      </c>
      <c r="E378" s="12" t="s">
        <v>13</v>
      </c>
    </row>
    <row r="379" spans="1:5" x14ac:dyDescent="0.25">
      <c r="A379" s="4">
        <v>2</v>
      </c>
      <c r="B379" t="str">
        <f>"EIXO - 1847"</f>
        <v>EIXO - 1847</v>
      </c>
      <c r="C379" t="str">
        <f>"32901847"</f>
        <v>32901847</v>
      </c>
      <c r="D379" s="9">
        <v>1847</v>
      </c>
      <c r="E379" s="12" t="s">
        <v>13</v>
      </c>
    </row>
    <row r="380" spans="1:5" x14ac:dyDescent="0.25">
      <c r="A380" s="5">
        <v>8</v>
      </c>
      <c r="B380" s="6" t="str">
        <f>"EIXO DA ROLDANA"</f>
        <v>EIXO DA ROLDANA</v>
      </c>
      <c r="C380" s="6" t="str">
        <f>"32901905"</f>
        <v>32901905</v>
      </c>
      <c r="D380" s="10">
        <v>1905</v>
      </c>
      <c r="E380" s="12" t="s">
        <v>13</v>
      </c>
    </row>
    <row r="381" spans="1:5" x14ac:dyDescent="0.25">
      <c r="A381" s="4">
        <v>8</v>
      </c>
      <c r="B381" t="str">
        <f>"PINO EXCENTRICO"</f>
        <v>PINO EXCENTRICO</v>
      </c>
      <c r="C381" t="str">
        <f>"32901907"</f>
        <v>32901907</v>
      </c>
      <c r="D381" s="9">
        <v>1907</v>
      </c>
      <c r="E381" s="12" t="s">
        <v>13</v>
      </c>
    </row>
    <row r="382" spans="1:5" x14ac:dyDescent="0.25">
      <c r="A382" s="5">
        <v>4</v>
      </c>
      <c r="B382" s="6" t="str">
        <f>"EIXO DO ESTICADOR"</f>
        <v>EIXO DO ESTICADOR</v>
      </c>
      <c r="C382" s="6" t="str">
        <f>"32901932"</f>
        <v>32901932</v>
      </c>
      <c r="D382" s="10">
        <v>1932</v>
      </c>
      <c r="E382" s="12" t="s">
        <v>13</v>
      </c>
    </row>
    <row r="383" spans="1:5" x14ac:dyDescent="0.25">
      <c r="A383" s="4">
        <v>2</v>
      </c>
      <c r="B383" t="str">
        <f>"EIXO - 1934"</f>
        <v>EIXO - 1934</v>
      </c>
      <c r="C383" t="str">
        <f>"32901934"</f>
        <v>32901934</v>
      </c>
      <c r="D383" s="9">
        <v>1934</v>
      </c>
      <c r="E383" s="12" t="s">
        <v>13</v>
      </c>
    </row>
    <row r="384" spans="1:5" x14ac:dyDescent="0.25">
      <c r="A384" s="5">
        <v>1</v>
      </c>
      <c r="B384" s="6" t="str">
        <f>"EIXO MAQ. 1000 mm"</f>
        <v>EIXO MAQ. 1000 mm</v>
      </c>
      <c r="C384" s="6" t="str">
        <f>"32901959BE0"</f>
        <v>32901959BE0</v>
      </c>
      <c r="D384" s="10">
        <v>1959</v>
      </c>
      <c r="E384" s="12" t="s">
        <v>13</v>
      </c>
    </row>
    <row r="385" spans="1:5" x14ac:dyDescent="0.25">
      <c r="A385" s="4">
        <v>1</v>
      </c>
      <c r="B385" t="str">
        <f>"EIXO DO ENCODER"</f>
        <v>EIXO DO ENCODER</v>
      </c>
      <c r="C385" t="str">
        <f>"32901965"</f>
        <v>32901965</v>
      </c>
      <c r="D385" s="9">
        <v>1965</v>
      </c>
      <c r="E385" s="12" t="s">
        <v>13</v>
      </c>
    </row>
    <row r="386" spans="1:5" x14ac:dyDescent="0.25">
      <c r="A386" s="5">
        <v>1</v>
      </c>
      <c r="B386" s="6" t="str">
        <f>"EIXO - 1968"</f>
        <v>EIXO - 1968</v>
      </c>
      <c r="C386" s="6" t="str">
        <f>"32901968"</f>
        <v>32901968</v>
      </c>
      <c r="D386" s="10">
        <v>1968</v>
      </c>
      <c r="E386" s="12" t="s">
        <v>13</v>
      </c>
    </row>
    <row r="387" spans="1:5" x14ac:dyDescent="0.25">
      <c r="A387" s="4">
        <v>1</v>
      </c>
      <c r="B387" t="str">
        <f>"EIXO MAQ. 1000 mm"</f>
        <v>EIXO MAQ. 1000 mm</v>
      </c>
      <c r="C387" t="str">
        <f>"32901974BE0"</f>
        <v>32901974BE0</v>
      </c>
      <c r="D387" s="9">
        <v>1974</v>
      </c>
      <c r="E387" s="12" t="s">
        <v>13</v>
      </c>
    </row>
    <row r="388" spans="1:5" x14ac:dyDescent="0.25">
      <c r="A388" s="5">
        <v>4</v>
      </c>
      <c r="B388" s="6" t="str">
        <f>"EIXO - 1986"</f>
        <v>EIXO - 1986</v>
      </c>
      <c r="C388" s="6" t="str">
        <f>"32901986"</f>
        <v>32901986</v>
      </c>
      <c r="D388" s="10">
        <v>1986</v>
      </c>
      <c r="E388" s="12" t="s">
        <v>13</v>
      </c>
    </row>
    <row r="389" spans="1:5" x14ac:dyDescent="0.25">
      <c r="A389" s="4">
        <v>2</v>
      </c>
      <c r="B389" t="str">
        <f>"EIXO LIVRE - 2066"</f>
        <v>EIXO LIVRE - 2066</v>
      </c>
      <c r="C389" t="str">
        <f>"32902066"</f>
        <v>32902066</v>
      </c>
      <c r="D389" s="9">
        <v>2066</v>
      </c>
      <c r="E389" s="12" t="s">
        <v>13</v>
      </c>
    </row>
    <row r="390" spans="1:5" x14ac:dyDescent="0.25">
      <c r="A390" s="5">
        <v>2</v>
      </c>
      <c r="B390" s="6" t="str">
        <f>"EIXO FIXO - 2067"</f>
        <v>EIXO FIXO - 2067</v>
      </c>
      <c r="C390" s="6" t="str">
        <f>"32902067"</f>
        <v>32902067</v>
      </c>
      <c r="D390" s="10">
        <v>2067</v>
      </c>
      <c r="E390" s="12" t="s">
        <v>13</v>
      </c>
    </row>
    <row r="391" spans="1:5" x14ac:dyDescent="0.25">
      <c r="A391" s="4">
        <v>8</v>
      </c>
      <c r="B391" t="str">
        <f>"EIXO FIXO - 2089"</f>
        <v>EIXO FIXO - 2089</v>
      </c>
      <c r="C391" t="str">
        <f>"32902089"</f>
        <v>32902089</v>
      </c>
      <c r="D391" s="9">
        <v>2089</v>
      </c>
      <c r="E391" s="12" t="s">
        <v>13</v>
      </c>
    </row>
    <row r="392" spans="1:5" x14ac:dyDescent="0.25">
      <c r="A392" s="5">
        <v>8</v>
      </c>
      <c r="B392" s="6" t="str">
        <f>"EIXO - MAQ 1000"</f>
        <v>EIXO - MAQ 1000</v>
      </c>
      <c r="C392" s="6" t="str">
        <f>"32902091BE0"</f>
        <v>32902091BE0</v>
      </c>
      <c r="D392" s="10">
        <v>2091</v>
      </c>
      <c r="E392" s="12" t="s">
        <v>13</v>
      </c>
    </row>
    <row r="393" spans="1:5" x14ac:dyDescent="0.25">
      <c r="A393" s="4">
        <v>8</v>
      </c>
      <c r="B393" t="str">
        <f>"EIXO FIXO - 2551"</f>
        <v>EIXO FIXO - 2551</v>
      </c>
      <c r="C393" t="str">
        <f>"32902551"</f>
        <v>32902551</v>
      </c>
      <c r="D393" s="9">
        <v>2551</v>
      </c>
      <c r="E393" s="12" t="s">
        <v>13</v>
      </c>
    </row>
    <row r="394" spans="1:5" x14ac:dyDescent="0.25">
      <c r="A394" s="5">
        <v>1</v>
      </c>
      <c r="B394" s="6" t="str">
        <f>"EIXO - 2565"</f>
        <v>EIXO - 2565</v>
      </c>
      <c r="C394" s="6" t="str">
        <f>"32902565"</f>
        <v>32902565</v>
      </c>
      <c r="D394" s="10">
        <v>2565</v>
      </c>
      <c r="E394" s="12" t="s">
        <v>13</v>
      </c>
    </row>
    <row r="395" spans="1:5" x14ac:dyDescent="0.25">
      <c r="A395" s="4">
        <v>2</v>
      </c>
      <c r="B395" t="str">
        <f>"EIXO - 2567"</f>
        <v>EIXO - 2567</v>
      </c>
      <c r="C395" t="str">
        <f>"32902567"</f>
        <v>32902567</v>
      </c>
      <c r="D395" s="9">
        <v>2567</v>
      </c>
      <c r="E395" s="12" t="s">
        <v>13</v>
      </c>
    </row>
    <row r="396" spans="1:5" x14ac:dyDescent="0.25">
      <c r="A396" s="5">
        <v>4</v>
      </c>
      <c r="B396" s="6" t="str">
        <f>"EIXO MAQ. 1000"</f>
        <v>EIXO MAQ. 1000</v>
      </c>
      <c r="C396" s="6" t="str">
        <f>"32904031BE0"</f>
        <v>32904031BE0</v>
      </c>
      <c r="D396" s="10">
        <v>4031</v>
      </c>
      <c r="E396" s="12" t="s">
        <v>13</v>
      </c>
    </row>
    <row r="397" spans="1:5" x14ac:dyDescent="0.25">
      <c r="A397" s="4">
        <v>1</v>
      </c>
      <c r="B397" t="str">
        <f>"EIXO DA BALANÇA DE SAIDA MAQ. 1000"</f>
        <v>EIXO DA BALANÇA DE SAIDA MAQ. 1000</v>
      </c>
      <c r="C397" t="str">
        <f>"32905217BE0"</f>
        <v>32905217BE0</v>
      </c>
      <c r="D397" s="9">
        <v>5217</v>
      </c>
      <c r="E397" s="12" t="s">
        <v>13</v>
      </c>
    </row>
    <row r="398" spans="1:5" x14ac:dyDescent="0.25">
      <c r="A398" s="5">
        <v>4</v>
      </c>
      <c r="B398" s="6" t="str">
        <f>"EIXO DO ROLETE - 5221"</f>
        <v>EIXO DO ROLETE - 5221</v>
      </c>
      <c r="C398" s="6" t="str">
        <f>"32905221"</f>
        <v>32905221</v>
      </c>
      <c r="D398" s="10">
        <v>5221</v>
      </c>
      <c r="E398" s="12" t="s">
        <v>13</v>
      </c>
    </row>
    <row r="399" spans="1:5" x14ac:dyDescent="0.25">
      <c r="A399" s="4">
        <v>4</v>
      </c>
      <c r="B399" t="str">
        <f>"EIXO DO ROLETE - 5222"</f>
        <v>EIXO DO ROLETE - 5222</v>
      </c>
      <c r="C399" t="str">
        <f>"32905222"</f>
        <v>32905222</v>
      </c>
      <c r="D399" s="9">
        <v>5222</v>
      </c>
      <c r="E399" s="12" t="s">
        <v>13</v>
      </c>
    </row>
    <row r="400" spans="1:5" x14ac:dyDescent="0.25">
      <c r="A400" s="5">
        <v>1</v>
      </c>
      <c r="B400" s="6" t="str">
        <f>"EIXO COMPACTADOR MÁQ. 1000"</f>
        <v>EIXO COMPACTADOR MÁQ. 1000</v>
      </c>
      <c r="C400" s="6" t="str">
        <f>"32905770BE0"</f>
        <v>32905770BE0</v>
      </c>
      <c r="D400" s="10">
        <v>5770</v>
      </c>
      <c r="E400" s="12" t="s">
        <v>13</v>
      </c>
    </row>
    <row r="401" spans="1:5" x14ac:dyDescent="0.25">
      <c r="A401" s="4">
        <v>2</v>
      </c>
      <c r="B401" t="str">
        <f>"EIXO 6058"</f>
        <v>EIXO 6058</v>
      </c>
      <c r="C401" t="str">
        <f>"32906058"</f>
        <v>32906058</v>
      </c>
      <c r="D401" s="9">
        <v>6058</v>
      </c>
      <c r="E401" s="12" t="s">
        <v>13</v>
      </c>
    </row>
    <row r="402" spans="1:5" x14ac:dyDescent="0.25">
      <c r="A402" s="5">
        <v>2</v>
      </c>
      <c r="B402" s="6" t="str">
        <f>"EIXO ARTICULADOR"</f>
        <v>EIXO ARTICULADOR</v>
      </c>
      <c r="C402" s="6" t="str">
        <f>"32906329"</f>
        <v>32906329</v>
      </c>
      <c r="D402" s="10">
        <v>6329</v>
      </c>
      <c r="E402" s="12" t="s">
        <v>13</v>
      </c>
    </row>
    <row r="403" spans="1:5" x14ac:dyDescent="0.25">
      <c r="A403" s="4">
        <v>1</v>
      </c>
      <c r="B403" t="str">
        <f>"EIXO DA BALANÇA MÁQ. 1000 - 8017"</f>
        <v>EIXO DA BALANÇA MÁQ. 1000 - 8017</v>
      </c>
      <c r="C403" t="str">
        <f>"32908017ZE0"</f>
        <v>32908017ZE0</v>
      </c>
      <c r="D403" s="9">
        <v>8017</v>
      </c>
      <c r="E403" s="12" t="s">
        <v>13</v>
      </c>
    </row>
    <row r="404" spans="1:5" x14ac:dyDescent="0.25">
      <c r="A404" s="5">
        <v>16</v>
      </c>
      <c r="B404" s="6" t="str">
        <f>"EIXO - 8059"</f>
        <v>EIXO - 8059</v>
      </c>
      <c r="C404" s="6" t="str">
        <f>"32908059"</f>
        <v>32908059</v>
      </c>
      <c r="D404" s="10">
        <v>8059</v>
      </c>
      <c r="E404" s="12" t="s">
        <v>13</v>
      </c>
    </row>
    <row r="405" spans="1:5" x14ac:dyDescent="0.25">
      <c r="A405" s="4">
        <v>16</v>
      </c>
      <c r="B405" t="str">
        <f>"EIXO - 8060"</f>
        <v>EIXO - 8060</v>
      </c>
      <c r="C405" t="str">
        <f>"32908060"</f>
        <v>32908060</v>
      </c>
      <c r="D405" s="9">
        <v>8060</v>
      </c>
      <c r="E405" s="12" t="s">
        <v>13</v>
      </c>
    </row>
    <row r="406" spans="1:5" x14ac:dyDescent="0.25">
      <c r="A406" s="5">
        <v>16</v>
      </c>
      <c r="B406" s="6" t="str">
        <f>"EIXO - 8062"</f>
        <v>EIXO - 8062</v>
      </c>
      <c r="C406" s="6" t="str">
        <f>"32908062"</f>
        <v>32908062</v>
      </c>
      <c r="D406" s="10">
        <v>8062</v>
      </c>
      <c r="E406" s="12" t="s">
        <v>13</v>
      </c>
    </row>
    <row r="407" spans="1:5" x14ac:dyDescent="0.25">
      <c r="A407" s="4">
        <v>16</v>
      </c>
      <c r="B407" t="str">
        <f>"EIXO - 8063"</f>
        <v>EIXO - 8063</v>
      </c>
      <c r="C407" t="str">
        <f>"32908063"</f>
        <v>32908063</v>
      </c>
      <c r="D407" s="9">
        <v>8063</v>
      </c>
      <c r="E407" s="12" t="s">
        <v>13</v>
      </c>
    </row>
    <row r="408" spans="1:5" x14ac:dyDescent="0.25">
      <c r="A408" s="5">
        <v>10</v>
      </c>
      <c r="B408" s="6" t="str">
        <f>"EIXO - 8097"</f>
        <v>EIXO - 8097</v>
      </c>
      <c r="C408" s="6" t="str">
        <f>"32908097"</f>
        <v>32908097</v>
      </c>
      <c r="D408" s="10">
        <v>8097</v>
      </c>
      <c r="E408" s="12" t="s">
        <v>13</v>
      </c>
    </row>
    <row r="409" spans="1:5" x14ac:dyDescent="0.25">
      <c r="A409" s="4">
        <v>10</v>
      </c>
      <c r="B409" t="str">
        <f>"EIXO - 8098"</f>
        <v>EIXO - 8098</v>
      </c>
      <c r="C409" t="str">
        <f>"32908098"</f>
        <v>32908098</v>
      </c>
      <c r="D409" s="9">
        <v>8098</v>
      </c>
      <c r="E409" s="12" t="s">
        <v>13</v>
      </c>
    </row>
    <row r="410" spans="1:5" x14ac:dyDescent="0.25">
      <c r="A410" s="5">
        <v>1</v>
      </c>
      <c r="B410" s="6" t="str">
        <f>"EIXO MÁQ. 1000 - 8213"</f>
        <v>EIXO MÁQ. 1000 - 8213</v>
      </c>
      <c r="C410" s="6" t="str">
        <f>"32908213ZE0"</f>
        <v>32908213ZE0</v>
      </c>
      <c r="D410" s="10">
        <v>8213</v>
      </c>
      <c r="E410" s="12" t="s">
        <v>13</v>
      </c>
    </row>
    <row r="411" spans="1:5" x14ac:dyDescent="0.25">
      <c r="A411" s="4">
        <v>1</v>
      </c>
      <c r="B411" t="str">
        <f>"EIXO MÁQ. 1000 - 8217"</f>
        <v>EIXO MÁQ. 1000 - 8217</v>
      </c>
      <c r="C411" t="str">
        <f>"32908217ZE0"</f>
        <v>32908217ZE0</v>
      </c>
      <c r="D411" s="9">
        <v>8217</v>
      </c>
      <c r="E411" s="12" t="s">
        <v>13</v>
      </c>
    </row>
    <row r="412" spans="1:5" x14ac:dyDescent="0.25">
      <c r="A412" s="5">
        <v>1</v>
      </c>
      <c r="B412" s="6" t="str">
        <f>"EIXO MÁQ. 1000 - 8235"</f>
        <v>EIXO MÁQ. 1000 - 8235</v>
      </c>
      <c r="C412" s="6" t="str">
        <f>"32908235ZE0"</f>
        <v>32908235ZE0</v>
      </c>
      <c r="D412" s="10">
        <v>8235</v>
      </c>
      <c r="E412" s="12" t="s">
        <v>13</v>
      </c>
    </row>
    <row r="413" spans="1:5" x14ac:dyDescent="0.25">
      <c r="A413" s="4">
        <v>11</v>
      </c>
      <c r="B413" t="str">
        <f>"EIXO MÁQ. 1000 - 8236"</f>
        <v>EIXO MÁQ. 1000 - 8236</v>
      </c>
      <c r="C413" t="str">
        <f>"32908236ZE0"</f>
        <v>32908236ZE0</v>
      </c>
      <c r="D413" s="9">
        <v>8236</v>
      </c>
      <c r="E413" s="12" t="s">
        <v>13</v>
      </c>
    </row>
    <row r="414" spans="1:5" x14ac:dyDescent="0.25">
      <c r="A414" s="5">
        <v>14</v>
      </c>
      <c r="B414" s="6" t="str">
        <f>"EIXO DA BALANÇA MÁQ. 1000 - 88282ZE0"</f>
        <v>EIXO DA BALANÇA MÁQ. 1000 - 88282ZE0</v>
      </c>
      <c r="C414" s="6" t="str">
        <f>"32908282ZE0"</f>
        <v>32908282ZE0</v>
      </c>
      <c r="D414" s="10">
        <v>8282</v>
      </c>
      <c r="E414" s="12" t="s">
        <v>13</v>
      </c>
    </row>
    <row r="415" spans="1:5" x14ac:dyDescent="0.25">
      <c r="A415" s="4">
        <v>12</v>
      </c>
      <c r="B415" t="str">
        <f>"ENGATE"</f>
        <v>ENGATE</v>
      </c>
      <c r="C415" t="str">
        <f>"33005186"</f>
        <v>33005186</v>
      </c>
      <c r="D415" s="9">
        <v>5186</v>
      </c>
      <c r="E415" s="12" t="s">
        <v>13</v>
      </c>
    </row>
    <row r="416" spans="1:5" x14ac:dyDescent="0.25">
      <c r="A416" s="5">
        <v>8</v>
      </c>
      <c r="B416" s="6" t="str">
        <f>"ENGATE 1/2 NPT - 8087"</f>
        <v>ENGATE 1/2 NPT - 8087</v>
      </c>
      <c r="C416" s="6" t="str">
        <f>"33008087"</f>
        <v>33008087</v>
      </c>
      <c r="D416" s="10">
        <v>8087</v>
      </c>
      <c r="E416" s="12" t="s">
        <v>13</v>
      </c>
    </row>
    <row r="417" spans="1:5" x14ac:dyDescent="0.25">
      <c r="A417" s="4">
        <v>8</v>
      </c>
      <c r="B417" t="str">
        <f>"ENGATE"</f>
        <v>ENGATE</v>
      </c>
      <c r="C417" t="str">
        <f>"33008088"</f>
        <v>33008088</v>
      </c>
      <c r="D417" s="9">
        <v>8088</v>
      </c>
      <c r="E417" s="12" t="s">
        <v>13</v>
      </c>
    </row>
    <row r="418" spans="1:5" x14ac:dyDescent="0.25">
      <c r="A418" s="5">
        <v>2</v>
      </c>
      <c r="B418" s="6" t="str">
        <f>"ENGRENAGEM MOTORA"</f>
        <v>ENGRENAGEM MOTORA</v>
      </c>
      <c r="C418" s="6" t="str">
        <f>"33021935"</f>
        <v>33021935</v>
      </c>
      <c r="D418" s="10">
        <v>1935</v>
      </c>
      <c r="E418" s="12" t="s">
        <v>13</v>
      </c>
    </row>
    <row r="419" spans="1:5" x14ac:dyDescent="0.25">
      <c r="A419" s="4">
        <v>2</v>
      </c>
      <c r="B419" t="str">
        <f>"ENGRENAGEM"</f>
        <v>ENGRENAGEM</v>
      </c>
      <c r="C419" t="str">
        <f>"33021937"</f>
        <v>33021937</v>
      </c>
      <c r="D419" s="9">
        <v>1937</v>
      </c>
      <c r="E419" s="12" t="s">
        <v>13</v>
      </c>
    </row>
    <row r="420" spans="1:5" x14ac:dyDescent="0.25">
      <c r="A420" s="5">
        <v>1</v>
      </c>
      <c r="B420" s="6" t="str">
        <f>"ESCADA - 8290"</f>
        <v>ESCADA - 8290</v>
      </c>
      <c r="C420" s="6" t="str">
        <f>"33038290"</f>
        <v>33038290</v>
      </c>
      <c r="D420" s="10">
        <v>8290</v>
      </c>
      <c r="E420" s="12" t="s">
        <v>13</v>
      </c>
    </row>
    <row r="421" spans="1:5" x14ac:dyDescent="0.25">
      <c r="A421" s="4">
        <v>4</v>
      </c>
      <c r="B421" t="str">
        <f>"ESPAÇADOR - 0509"</f>
        <v>ESPAÇADOR - 0509</v>
      </c>
      <c r="C421" t="str">
        <f>"33040509"</f>
        <v>33040509</v>
      </c>
      <c r="D421" s="9">
        <v>509</v>
      </c>
      <c r="E421" s="12" t="s">
        <v>13</v>
      </c>
    </row>
    <row r="422" spans="1:5" x14ac:dyDescent="0.25">
      <c r="A422" s="5">
        <v>4</v>
      </c>
      <c r="B422" s="6" t="str">
        <f>"ESPAÇADOR DO REDUTOR"</f>
        <v>ESPAÇADOR DO REDUTOR</v>
      </c>
      <c r="C422" s="6" t="str">
        <f>"33041929"</f>
        <v>33041929</v>
      </c>
      <c r="D422" s="10">
        <v>1929</v>
      </c>
      <c r="E422" s="12" t="s">
        <v>13</v>
      </c>
    </row>
    <row r="423" spans="1:5" x14ac:dyDescent="0.25">
      <c r="A423" s="4">
        <v>4</v>
      </c>
      <c r="B423" t="str">
        <f>"ESPAÇADOR - 2112"</f>
        <v>ESPAÇADOR - 2112</v>
      </c>
      <c r="C423" t="str">
        <f>"33042112"</f>
        <v>33042112</v>
      </c>
      <c r="D423" s="9">
        <v>2112</v>
      </c>
      <c r="E423" s="12" t="s">
        <v>13</v>
      </c>
    </row>
    <row r="424" spans="1:5" x14ac:dyDescent="0.25">
      <c r="A424" s="5">
        <v>4</v>
      </c>
      <c r="B424" s="6" t="str">
        <f>"ESPAÇADOR - 2114"</f>
        <v>ESPAÇADOR - 2114</v>
      </c>
      <c r="C424" s="6" t="str">
        <f>"33042114"</f>
        <v>33042114</v>
      </c>
      <c r="D424" s="10">
        <v>2114</v>
      </c>
      <c r="E424" s="12" t="s">
        <v>13</v>
      </c>
    </row>
    <row r="425" spans="1:5" x14ac:dyDescent="0.25">
      <c r="A425" s="4">
        <v>8</v>
      </c>
      <c r="B425" t="str">
        <f>"ESPAÇADOR - 2655"</f>
        <v>ESPAÇADOR - 2655</v>
      </c>
      <c r="C425" t="str">
        <f>"33042655"</f>
        <v>33042655</v>
      </c>
      <c r="D425" s="9">
        <v>2655</v>
      </c>
      <c r="E425" s="12" t="s">
        <v>13</v>
      </c>
    </row>
    <row r="426" spans="1:5" x14ac:dyDescent="0.25">
      <c r="A426" s="5">
        <v>4</v>
      </c>
      <c r="B426" s="6" t="str">
        <f>"ESPAÇADOR - 5087"</f>
        <v>ESPAÇADOR - 5087</v>
      </c>
      <c r="C426" s="6" t="str">
        <f>"33045087"</f>
        <v>33045087</v>
      </c>
      <c r="D426" s="10">
        <v>5087</v>
      </c>
      <c r="E426" s="12" t="s">
        <v>13</v>
      </c>
    </row>
    <row r="427" spans="1:5" x14ac:dyDescent="0.25">
      <c r="A427" s="4">
        <v>20</v>
      </c>
      <c r="B427" t="str">
        <f>"ESPAÇADOR - 5089"</f>
        <v>ESPAÇADOR - 5089</v>
      </c>
      <c r="C427" t="str">
        <f>"33045089"</f>
        <v>33045089</v>
      </c>
      <c r="D427" s="9">
        <v>5089</v>
      </c>
      <c r="E427" s="12" t="s">
        <v>13</v>
      </c>
    </row>
    <row r="428" spans="1:5" x14ac:dyDescent="0.25">
      <c r="A428" s="5">
        <v>4</v>
      </c>
      <c r="B428" s="6" t="str">
        <f>"ESPAÇADOR"</f>
        <v>ESPAÇADOR</v>
      </c>
      <c r="C428" s="6" t="str">
        <f>"33045311"</f>
        <v>33045311</v>
      </c>
      <c r="D428" s="10">
        <v>5311</v>
      </c>
      <c r="E428" s="12" t="s">
        <v>13</v>
      </c>
    </row>
    <row r="429" spans="1:5" x14ac:dyDescent="0.25">
      <c r="A429" s="4">
        <v>4</v>
      </c>
      <c r="B429" t="str">
        <f>"ESPAÇADOR"</f>
        <v>ESPAÇADOR</v>
      </c>
      <c r="C429" t="str">
        <f>"33045312"</f>
        <v>33045312</v>
      </c>
      <c r="D429" s="9">
        <v>5312</v>
      </c>
      <c r="E429" s="12" t="s">
        <v>13</v>
      </c>
    </row>
    <row r="430" spans="1:5" x14ac:dyDescent="0.25">
      <c r="A430" s="5">
        <v>2</v>
      </c>
      <c r="B430" s="6" t="str">
        <f>"ESPACADOR - 5849"</f>
        <v>ESPACADOR - 5849</v>
      </c>
      <c r="C430" s="6" t="str">
        <f>"33045849"</f>
        <v>33045849</v>
      </c>
      <c r="D430" s="10">
        <v>5849</v>
      </c>
      <c r="E430" s="12" t="s">
        <v>13</v>
      </c>
    </row>
    <row r="431" spans="1:5" x14ac:dyDescent="0.25">
      <c r="A431" s="4">
        <v>8</v>
      </c>
      <c r="B431" t="str">
        <f>"ESPAÇADOR - 8037"</f>
        <v>ESPAÇADOR - 8037</v>
      </c>
      <c r="C431" t="str">
        <f>"33048037"</f>
        <v>33048037</v>
      </c>
      <c r="D431" s="9">
        <v>8037</v>
      </c>
      <c r="E431" s="12" t="s">
        <v>13</v>
      </c>
    </row>
    <row r="432" spans="1:5" x14ac:dyDescent="0.25">
      <c r="A432" s="5">
        <v>8</v>
      </c>
      <c r="B432" s="6" t="str">
        <f>"ESPAÇADOR - 8038"</f>
        <v>ESPAÇADOR - 8038</v>
      </c>
      <c r="C432" s="6" t="str">
        <f>"33048038"</f>
        <v>33048038</v>
      </c>
      <c r="D432" s="10">
        <v>8038</v>
      </c>
      <c r="E432" s="12" t="s">
        <v>13</v>
      </c>
    </row>
    <row r="433" spans="1:5" x14ac:dyDescent="0.25">
      <c r="A433" s="4">
        <v>1</v>
      </c>
      <c r="B433" t="str">
        <f>"ESPAÇADOR - 8381"</f>
        <v>ESPAÇADOR - 8381</v>
      </c>
      <c r="C433" t="str">
        <f>"33048381"</f>
        <v>33048381</v>
      </c>
      <c r="D433" s="9">
        <v>8381</v>
      </c>
      <c r="E433" s="12" t="s">
        <v>13</v>
      </c>
    </row>
    <row r="434" spans="1:5" x14ac:dyDescent="0.25">
      <c r="A434" s="5">
        <v>5</v>
      </c>
      <c r="B434" s="6" t="str">
        <f>"ESPAÇADOR - 8382"</f>
        <v>ESPAÇADOR - 8382</v>
      </c>
      <c r="C434" s="6" t="str">
        <f>"33048382"</f>
        <v>33048382</v>
      </c>
      <c r="D434" s="10">
        <v>8382</v>
      </c>
      <c r="E434" s="12" t="s">
        <v>13</v>
      </c>
    </row>
    <row r="435" spans="1:5" x14ac:dyDescent="0.25">
      <c r="A435" s="4">
        <v>3</v>
      </c>
      <c r="B435" t="str">
        <f>"ESPAÇADOR - 8383"</f>
        <v>ESPAÇADOR - 8383</v>
      </c>
      <c r="C435" t="str">
        <f>"33048383"</f>
        <v>33048383</v>
      </c>
      <c r="D435" s="9">
        <v>8383</v>
      </c>
      <c r="E435" s="12" t="s">
        <v>13</v>
      </c>
    </row>
    <row r="436" spans="1:5" x14ac:dyDescent="0.25">
      <c r="A436" s="5">
        <v>6</v>
      </c>
      <c r="B436" s="6" t="str">
        <f>"ESTICADOR - 1045"</f>
        <v>ESTICADOR - 1045</v>
      </c>
      <c r="C436" s="6" t="str">
        <f>"33141045"</f>
        <v>33141045</v>
      </c>
      <c r="D436" s="10">
        <v>1045</v>
      </c>
      <c r="E436" s="12" t="s">
        <v>13</v>
      </c>
    </row>
    <row r="437" spans="1:5" x14ac:dyDescent="0.25">
      <c r="A437" s="4">
        <v>4</v>
      </c>
      <c r="B437" t="str">
        <f>"ESTICADOR - 1045V02"</f>
        <v>ESTICADOR - 1045V02</v>
      </c>
      <c r="C437" t="str">
        <f>"33141045V02"</f>
        <v>33141045V02</v>
      </c>
      <c r="D437" s="9">
        <v>1045</v>
      </c>
      <c r="E437" s="12" t="s">
        <v>13</v>
      </c>
    </row>
    <row r="438" spans="1:5" x14ac:dyDescent="0.25">
      <c r="A438" s="5">
        <v>8</v>
      </c>
      <c r="B438" s="6" t="str">
        <f>"ESTICADOR - 2097"</f>
        <v>ESTICADOR - 2097</v>
      </c>
      <c r="C438" s="6" t="str">
        <f>"33142097"</f>
        <v>33142097</v>
      </c>
      <c r="D438" s="10">
        <v>2097</v>
      </c>
      <c r="E438" s="12" t="s">
        <v>13</v>
      </c>
    </row>
    <row r="439" spans="1:5" x14ac:dyDescent="0.25">
      <c r="A439" s="4">
        <v>3</v>
      </c>
      <c r="B439" t="str">
        <f>"FACA MAQ. 1000"</f>
        <v>FACA MAQ. 1000</v>
      </c>
      <c r="C439" t="str">
        <f>"33260850BE0"</f>
        <v>33260850BE0</v>
      </c>
      <c r="D439" s="9">
        <v>850</v>
      </c>
      <c r="E439" s="12" t="s">
        <v>13</v>
      </c>
    </row>
    <row r="440" spans="1:5" x14ac:dyDescent="0.25">
      <c r="A440" s="5">
        <v>3</v>
      </c>
      <c r="B440" s="6" t="str">
        <f>"FACA MAQ. 1000"</f>
        <v>FACA MAQ. 1000</v>
      </c>
      <c r="C440" s="6" t="str">
        <f>"33260851BE0"</f>
        <v>33260851BE0</v>
      </c>
      <c r="D440" s="10">
        <v>851</v>
      </c>
      <c r="E440" s="12" t="s">
        <v>13</v>
      </c>
    </row>
    <row r="441" spans="1:5" x14ac:dyDescent="0.25">
      <c r="A441" s="4">
        <v>2</v>
      </c>
      <c r="B441" t="str">
        <f>"FLANGE - 0804"</f>
        <v>FLANGE - 0804</v>
      </c>
      <c r="C441" t="str">
        <f>"33420804"</f>
        <v>33420804</v>
      </c>
      <c r="D441" s="9">
        <v>804</v>
      </c>
      <c r="E441" s="12" t="s">
        <v>13</v>
      </c>
    </row>
    <row r="442" spans="1:5" x14ac:dyDescent="0.25">
      <c r="A442" s="5">
        <v>2</v>
      </c>
      <c r="B442" s="6" t="str">
        <f>"FLANGE - 0890"</f>
        <v>FLANGE - 0890</v>
      </c>
      <c r="C442" s="6" t="str">
        <f>"33420890"</f>
        <v>33420890</v>
      </c>
      <c r="D442" s="10">
        <v>890</v>
      </c>
      <c r="E442" s="12" t="s">
        <v>13</v>
      </c>
    </row>
    <row r="443" spans="1:5" x14ac:dyDescent="0.25">
      <c r="A443" s="4">
        <v>4</v>
      </c>
      <c r="B443" t="str">
        <f>"FLANGE - 1321"</f>
        <v>FLANGE - 1321</v>
      </c>
      <c r="C443" t="str">
        <f>"33421321"</f>
        <v>33421321</v>
      </c>
      <c r="D443" s="9">
        <v>1321</v>
      </c>
      <c r="E443" s="12" t="s">
        <v>13</v>
      </c>
    </row>
    <row r="444" spans="1:5" x14ac:dyDescent="0.25">
      <c r="A444" s="5">
        <v>20</v>
      </c>
      <c r="B444" s="6" t="str">
        <f>"FLANGE - 1987"</f>
        <v>FLANGE - 1987</v>
      </c>
      <c r="C444" s="6" t="str">
        <f>"33421987"</f>
        <v>33421987</v>
      </c>
      <c r="D444" s="10">
        <v>1987</v>
      </c>
      <c r="E444" s="12" t="s">
        <v>13</v>
      </c>
    </row>
    <row r="445" spans="1:5" x14ac:dyDescent="0.25">
      <c r="A445" s="4">
        <v>4</v>
      </c>
      <c r="B445" t="str">
        <f>"FLANGE - 1989"</f>
        <v>FLANGE - 1989</v>
      </c>
      <c r="C445" t="str">
        <f>"33421989"</f>
        <v>33421989</v>
      </c>
      <c r="D445" s="9">
        <v>1989</v>
      </c>
      <c r="E445" s="12" t="s">
        <v>13</v>
      </c>
    </row>
    <row r="446" spans="1:5" x14ac:dyDescent="0.25">
      <c r="A446" s="5">
        <v>2</v>
      </c>
      <c r="B446" s="6" t="str">
        <f>"FLANGE - 1997"</f>
        <v>FLANGE - 1997</v>
      </c>
      <c r="C446" s="6" t="str">
        <f>"33421997"</f>
        <v>33421997</v>
      </c>
      <c r="D446" s="10">
        <v>1997</v>
      </c>
      <c r="E446" s="12" t="s">
        <v>13</v>
      </c>
    </row>
    <row r="447" spans="1:5" x14ac:dyDescent="0.25">
      <c r="A447" s="4">
        <v>10</v>
      </c>
      <c r="B447" t="str">
        <f>"FLANGE - 2058"</f>
        <v>FLANGE - 2058</v>
      </c>
      <c r="C447" t="str">
        <f>"33422058"</f>
        <v>33422058</v>
      </c>
      <c r="D447" s="9">
        <v>2058</v>
      </c>
      <c r="E447" s="12" t="s">
        <v>13</v>
      </c>
    </row>
    <row r="448" spans="1:5" x14ac:dyDescent="0.25">
      <c r="A448" s="5">
        <v>82</v>
      </c>
      <c r="B448" s="6" t="str">
        <f>"FLANGE - 2062"</f>
        <v>FLANGE - 2062</v>
      </c>
      <c r="C448" s="6" t="str">
        <f>"33422062"</f>
        <v>33422062</v>
      </c>
      <c r="D448" s="10">
        <v>2062</v>
      </c>
      <c r="E448" s="12" t="s">
        <v>13</v>
      </c>
    </row>
    <row r="449" spans="1:5" x14ac:dyDescent="0.25">
      <c r="A449" s="4">
        <v>8</v>
      </c>
      <c r="B449" t="str">
        <f>"FLANGE DO ROLETE"</f>
        <v>FLANGE DO ROLETE</v>
      </c>
      <c r="C449" t="str">
        <f>"33422228"</f>
        <v>33422228</v>
      </c>
      <c r="D449" s="9">
        <v>2228</v>
      </c>
      <c r="E449" s="12" t="s">
        <v>13</v>
      </c>
    </row>
    <row r="450" spans="1:5" x14ac:dyDescent="0.25">
      <c r="A450" s="5">
        <v>1</v>
      </c>
      <c r="B450" s="6" t="str">
        <f>"FLANGE DE ENTRADA - 3972"</f>
        <v>FLANGE DE ENTRADA - 3972</v>
      </c>
      <c r="C450" s="6" t="str">
        <f>"33423972"</f>
        <v>33423972</v>
      </c>
      <c r="D450" s="10">
        <v>3972</v>
      </c>
      <c r="E450" s="12" t="s">
        <v>13</v>
      </c>
    </row>
    <row r="451" spans="1:5" x14ac:dyDescent="0.25">
      <c r="A451" s="4">
        <v>3</v>
      </c>
      <c r="B451" t="str">
        <f>"FLANGE DE ENTRADA - 3996"</f>
        <v>FLANGE DE ENTRADA - 3996</v>
      </c>
      <c r="C451" t="str">
        <f>"33423996"</f>
        <v>33423996</v>
      </c>
      <c r="D451" s="9">
        <v>3996</v>
      </c>
      <c r="E451" s="12" t="s">
        <v>13</v>
      </c>
    </row>
    <row r="452" spans="1:5" x14ac:dyDescent="0.25">
      <c r="A452" s="5">
        <v>8</v>
      </c>
      <c r="B452" s="6" t="str">
        <f>"FLANGE"</f>
        <v>FLANGE</v>
      </c>
      <c r="C452" s="6" t="str">
        <f>"33424030"</f>
        <v>33424030</v>
      </c>
      <c r="D452" s="10">
        <v>4030</v>
      </c>
      <c r="E452" s="12" t="s">
        <v>13</v>
      </c>
    </row>
    <row r="453" spans="1:5" x14ac:dyDescent="0.25">
      <c r="A453" s="4">
        <v>12</v>
      </c>
      <c r="B453" t="str">
        <f>"FLANGE - 8123"</f>
        <v>FLANGE - 8123</v>
      </c>
      <c r="C453" t="str">
        <f>"33428123"</f>
        <v>33428123</v>
      </c>
      <c r="D453" s="9">
        <v>8123</v>
      </c>
      <c r="E453" s="12" t="s">
        <v>13</v>
      </c>
    </row>
    <row r="454" spans="1:5" x14ac:dyDescent="0.25">
      <c r="A454" s="5">
        <v>4</v>
      </c>
      <c r="B454" s="6" t="str">
        <f>"FUNDO MÁQ. 1000 - 8240"</f>
        <v>FUNDO MÁQ. 1000 - 8240</v>
      </c>
      <c r="C454" s="6" t="str">
        <f>"33448240ZE0"</f>
        <v>33448240ZE0</v>
      </c>
      <c r="D454" s="10">
        <v>8240</v>
      </c>
      <c r="E454" s="12" t="s">
        <v>13</v>
      </c>
    </row>
    <row r="455" spans="1:5" x14ac:dyDescent="0.25">
      <c r="A455" s="4">
        <v>8</v>
      </c>
      <c r="B455" t="str">
        <f>"FUSO - 8045"</f>
        <v>FUSO - 8045</v>
      </c>
      <c r="C455" t="str">
        <f>"33508045"</f>
        <v>33508045</v>
      </c>
      <c r="D455" s="9">
        <v>8045</v>
      </c>
      <c r="E455" s="12" t="s">
        <v>13</v>
      </c>
    </row>
    <row r="456" spans="1:5" x14ac:dyDescent="0.25">
      <c r="A456" s="5">
        <v>8</v>
      </c>
      <c r="B456" s="6" t="str">
        <f>"FUSO NIVELADOR - 8268"</f>
        <v>FUSO NIVELADOR - 8268</v>
      </c>
      <c r="C456" s="6" t="str">
        <f>"33508268"</f>
        <v>33508268</v>
      </c>
      <c r="D456" s="10">
        <v>8268</v>
      </c>
      <c r="E456" s="12" t="s">
        <v>13</v>
      </c>
    </row>
    <row r="457" spans="1:5" x14ac:dyDescent="0.25">
      <c r="A457" s="4">
        <v>4</v>
      </c>
      <c r="B457" t="str">
        <f>"GAVETA DO REGISTRO - 8043V01"</f>
        <v>GAVETA DO REGISTRO - 8043V01</v>
      </c>
      <c r="C457" t="str">
        <f>"33558043V01"</f>
        <v>33558043V01</v>
      </c>
      <c r="D457" s="9">
        <v>8043</v>
      </c>
      <c r="E457" s="12" t="s">
        <v>13</v>
      </c>
    </row>
    <row r="458" spans="1:5" x14ac:dyDescent="0.25">
      <c r="A458" s="5">
        <v>4</v>
      </c>
      <c r="B458" s="6" t="str">
        <f>"GAVETA DO REGISTRO - 8043V02"</f>
        <v>GAVETA DO REGISTRO - 8043V02</v>
      </c>
      <c r="C458" s="6" t="str">
        <f>"33558043V02"</f>
        <v>33558043V02</v>
      </c>
      <c r="D458" s="10">
        <v>8043</v>
      </c>
      <c r="E458" s="12" t="s">
        <v>13</v>
      </c>
    </row>
    <row r="459" spans="1:5" x14ac:dyDescent="0.25">
      <c r="A459" s="4">
        <v>2</v>
      </c>
      <c r="B459" t="str">
        <f>"GARFO DA BALANÇA"</f>
        <v>GARFO DA BALANÇA</v>
      </c>
      <c r="C459" t="str">
        <f>"33565224"</f>
        <v>33565224</v>
      </c>
      <c r="D459" s="9">
        <v>5224</v>
      </c>
      <c r="E459" s="12" t="s">
        <v>13</v>
      </c>
    </row>
    <row r="460" spans="1:5" x14ac:dyDescent="0.25">
      <c r="A460" s="5">
        <v>8</v>
      </c>
      <c r="B460" s="6" t="str">
        <f>"GUIA DIREITA"</f>
        <v>GUIA DIREITA</v>
      </c>
      <c r="C460" s="6" t="str">
        <f>"33660241TT0001"</f>
        <v>33660241TT0001</v>
      </c>
      <c r="D460" s="10">
        <v>241</v>
      </c>
      <c r="E460" s="12" t="s">
        <v>13</v>
      </c>
    </row>
    <row r="461" spans="1:5" x14ac:dyDescent="0.25">
      <c r="A461" s="4">
        <v>8</v>
      </c>
      <c r="B461" t="str">
        <f>"GUIA ESQUERDA"</f>
        <v>GUIA ESQUERDA</v>
      </c>
      <c r="C461" t="str">
        <f>"33660241TT0002"</f>
        <v>33660241TT0002</v>
      </c>
      <c r="D461" s="9">
        <v>241</v>
      </c>
      <c r="E461" s="12" t="s">
        <v>13</v>
      </c>
    </row>
    <row r="462" spans="1:5" x14ac:dyDescent="0.25">
      <c r="A462" s="5">
        <v>24</v>
      </c>
      <c r="B462" s="6" t="str">
        <f>"GUIA DO COLETOR"</f>
        <v>GUIA DO COLETOR</v>
      </c>
      <c r="C462" s="6" t="str">
        <f>"33661394"</f>
        <v>33661394</v>
      </c>
      <c r="D462" s="10">
        <v>1394</v>
      </c>
      <c r="E462" s="12" t="s">
        <v>13</v>
      </c>
    </row>
    <row r="463" spans="1:5" x14ac:dyDescent="0.25">
      <c r="A463" s="4">
        <v>8</v>
      </c>
      <c r="B463" t="str">
        <f>"GUIA DO REDUTOR"</f>
        <v>GUIA DO REDUTOR</v>
      </c>
      <c r="C463" t="str">
        <f>"33662087"</f>
        <v>33662087</v>
      </c>
      <c r="D463" s="9">
        <v>2087</v>
      </c>
      <c r="E463" s="12" t="s">
        <v>13</v>
      </c>
    </row>
    <row r="464" spans="1:5" x14ac:dyDescent="0.25">
      <c r="A464" s="5">
        <v>2</v>
      </c>
      <c r="B464" s="6" t="str">
        <f>"GUIA DO EXPANSIVO ESQ."</f>
        <v>GUIA DO EXPANSIVO ESQ.</v>
      </c>
      <c r="C464" s="6" t="str">
        <f>"33662600"</f>
        <v>33662600</v>
      </c>
      <c r="D464" s="10">
        <v>2600</v>
      </c>
      <c r="E464" s="12" t="s">
        <v>13</v>
      </c>
    </row>
    <row r="465" spans="1:5" x14ac:dyDescent="0.25">
      <c r="A465" s="4">
        <v>2</v>
      </c>
      <c r="B465" t="str">
        <f>"GUIA DO EXPANSIVO DIR."</f>
        <v>GUIA DO EXPANSIVO DIR.</v>
      </c>
      <c r="C465" t="str">
        <f>"33662601"</f>
        <v>33662601</v>
      </c>
      <c r="D465" s="9">
        <v>2601</v>
      </c>
      <c r="E465" s="12" t="s">
        <v>13</v>
      </c>
    </row>
    <row r="466" spans="1:5" x14ac:dyDescent="0.25">
      <c r="A466" s="5">
        <v>2</v>
      </c>
      <c r="B466" s="6" t="str">
        <f>"GUIA - 5145"</f>
        <v>GUIA - 5145</v>
      </c>
      <c r="C466" s="6" t="str">
        <f>"33665145"</f>
        <v>33665145</v>
      </c>
      <c r="D466" s="10">
        <v>5145</v>
      </c>
      <c r="E466" s="12" t="s">
        <v>13</v>
      </c>
    </row>
    <row r="467" spans="1:5" x14ac:dyDescent="0.25">
      <c r="A467" s="4">
        <v>2</v>
      </c>
      <c r="B467" t="str">
        <f>"GUIA CILINDRO BAIXO ATRITO"</f>
        <v>GUIA CILINDRO BAIXO ATRITO</v>
      </c>
      <c r="C467" t="str">
        <f>"33665292"</f>
        <v>33665292</v>
      </c>
      <c r="D467" s="9">
        <v>5292</v>
      </c>
      <c r="E467" s="12" t="s">
        <v>13</v>
      </c>
    </row>
    <row r="468" spans="1:5" x14ac:dyDescent="0.25">
      <c r="A468" s="5">
        <v>16</v>
      </c>
      <c r="B468" s="6" t="str">
        <f>"GUIA - 8066"</f>
        <v>GUIA - 8066</v>
      </c>
      <c r="C468" s="6" t="str">
        <f>"33668066"</f>
        <v>33668066</v>
      </c>
      <c r="D468" s="10">
        <v>8066</v>
      </c>
      <c r="E468" s="12" t="s">
        <v>13</v>
      </c>
    </row>
    <row r="469" spans="1:5" x14ac:dyDescent="0.25">
      <c r="A469" s="4">
        <v>16</v>
      </c>
      <c r="B469" t="str">
        <f>"GUIA - 8066V01"</f>
        <v>GUIA - 8066V01</v>
      </c>
      <c r="C469" t="str">
        <f>"33668066V01"</f>
        <v>33668066V01</v>
      </c>
      <c r="D469" s="9">
        <v>8066</v>
      </c>
      <c r="E469" s="12" t="s">
        <v>13</v>
      </c>
    </row>
    <row r="470" spans="1:5" x14ac:dyDescent="0.25">
      <c r="A470" s="5">
        <v>2</v>
      </c>
      <c r="B470" s="6" t="str">
        <f>"HASTE CILINDRO BAIXO ATRITO"</f>
        <v>HASTE CILINDRO BAIXO ATRITO</v>
      </c>
      <c r="C470" s="6" t="str">
        <f>"33735293"</f>
        <v>33735293</v>
      </c>
      <c r="D470" s="10">
        <v>5293</v>
      </c>
      <c r="E470" s="12" t="s">
        <v>13</v>
      </c>
    </row>
    <row r="471" spans="1:5" x14ac:dyDescent="0.25">
      <c r="A471" s="4">
        <v>40</v>
      </c>
      <c r="B471" t="str">
        <f>"INDICADOR DE POSIÇÃO - 5850"</f>
        <v>INDICADOR DE POSIÇÃO - 5850</v>
      </c>
      <c r="C471" t="str">
        <f>"33845850"</f>
        <v>33845850</v>
      </c>
      <c r="D471" s="9">
        <v>5850</v>
      </c>
      <c r="E471" s="12" t="s">
        <v>13</v>
      </c>
    </row>
    <row r="472" spans="1:5" x14ac:dyDescent="0.25">
      <c r="A472" s="5">
        <v>8</v>
      </c>
      <c r="B472" s="6" t="str">
        <f>"INSERTO - 0236"</f>
        <v>INSERTO - 0236</v>
      </c>
      <c r="C472" s="6" t="str">
        <f>"33850236"</f>
        <v>33850236</v>
      </c>
      <c r="D472" s="10">
        <v>236</v>
      </c>
      <c r="E472" s="12" t="s">
        <v>13</v>
      </c>
    </row>
    <row r="473" spans="1:5" x14ac:dyDescent="0.25">
      <c r="A473" s="4">
        <v>8</v>
      </c>
      <c r="B473" t="str">
        <f>"INSERTO - 0237"</f>
        <v>INSERTO - 0237</v>
      </c>
      <c r="C473" t="str">
        <f>"33850237"</f>
        <v>33850237</v>
      </c>
      <c r="D473" s="9">
        <v>237</v>
      </c>
      <c r="E473" s="12" t="s">
        <v>13</v>
      </c>
    </row>
    <row r="474" spans="1:5" x14ac:dyDescent="0.25">
      <c r="A474" s="5">
        <v>2</v>
      </c>
      <c r="B474" s="6" t="str">
        <f>"LATERAL DIREITA"</f>
        <v>LATERAL DIREITA</v>
      </c>
      <c r="C474" s="6" t="str">
        <f>"33981900"</f>
        <v>33981900</v>
      </c>
      <c r="D474" s="10">
        <v>1900</v>
      </c>
      <c r="E474" s="12" t="s">
        <v>13</v>
      </c>
    </row>
    <row r="475" spans="1:5" x14ac:dyDescent="0.25">
      <c r="A475" s="4">
        <v>2</v>
      </c>
      <c r="B475" t="str">
        <f>"LATERAL ESQUERDA"</f>
        <v>LATERAL ESQUERDA</v>
      </c>
      <c r="C475" t="str">
        <f>"33981901"</f>
        <v>33981901</v>
      </c>
      <c r="D475" s="9">
        <v>1901</v>
      </c>
      <c r="E475" s="12" t="s">
        <v>13</v>
      </c>
    </row>
    <row r="476" spans="1:5" x14ac:dyDescent="0.25">
      <c r="A476" s="5">
        <v>1</v>
      </c>
      <c r="B476" s="6" t="str">
        <f>"LATERAL DOS ROLETES - 5004"</f>
        <v>LATERAL DOS ROLETES - 5004</v>
      </c>
      <c r="C476" s="6" t="str">
        <f>"33985004"</f>
        <v>33985004</v>
      </c>
      <c r="D476" s="10">
        <v>5004</v>
      </c>
      <c r="E476" s="12" t="s">
        <v>13</v>
      </c>
    </row>
    <row r="477" spans="1:5" x14ac:dyDescent="0.25">
      <c r="A477" s="4">
        <v>1</v>
      </c>
      <c r="B477" t="str">
        <f>"LATERAL DOS ROLETES - 5005"</f>
        <v>LATERAL DOS ROLETES - 5005</v>
      </c>
      <c r="C477" t="str">
        <f>"33985005"</f>
        <v>33985005</v>
      </c>
      <c r="D477" s="9">
        <v>5005</v>
      </c>
      <c r="E477" s="12" t="s">
        <v>13</v>
      </c>
    </row>
    <row r="478" spans="1:5" x14ac:dyDescent="0.25">
      <c r="A478" s="5">
        <v>1</v>
      </c>
      <c r="B478" s="6" t="str">
        <f>"LATERAL SUPERIOR MOTOR - 8010"</f>
        <v>LATERAL SUPERIOR MOTOR - 8010</v>
      </c>
      <c r="C478" s="6" t="str">
        <f>"33988010"</f>
        <v>33988010</v>
      </c>
      <c r="D478" s="10">
        <v>8010</v>
      </c>
      <c r="E478" s="12" t="s">
        <v>13</v>
      </c>
    </row>
    <row r="479" spans="1:5" x14ac:dyDescent="0.25">
      <c r="A479" s="4">
        <v>1</v>
      </c>
      <c r="B479" t="str">
        <f>"LATERAL INFERIOR MOTOR - 8011"</f>
        <v>LATERAL INFERIOR MOTOR - 8011</v>
      </c>
      <c r="C479" t="str">
        <f>"33988011"</f>
        <v>33988011</v>
      </c>
      <c r="D479" s="9">
        <v>8011</v>
      </c>
      <c r="E479" s="12" t="s">
        <v>13</v>
      </c>
    </row>
    <row r="480" spans="1:5" x14ac:dyDescent="0.25">
      <c r="A480" s="5">
        <v>1</v>
      </c>
      <c r="B480" s="6" t="str">
        <f>"LATERAL INFERIOR CAMISA - 8012"</f>
        <v>LATERAL INFERIOR CAMISA - 8012</v>
      </c>
      <c r="C480" s="6" t="str">
        <f>"33988012"</f>
        <v>33988012</v>
      </c>
      <c r="D480" s="10">
        <v>8012</v>
      </c>
      <c r="E480" s="12" t="s">
        <v>13</v>
      </c>
    </row>
    <row r="481" spans="1:5" x14ac:dyDescent="0.25">
      <c r="A481" s="4">
        <v>1</v>
      </c>
      <c r="B481" t="str">
        <f>"LATERAL SUPERIOR CAMISA - 8013"</f>
        <v>LATERAL SUPERIOR CAMISA - 8013</v>
      </c>
      <c r="C481" t="str">
        <f>"33988013"</f>
        <v>33988013</v>
      </c>
      <c r="D481" s="9">
        <v>8013</v>
      </c>
      <c r="E481" s="12" t="s">
        <v>13</v>
      </c>
    </row>
    <row r="482" spans="1:5" x14ac:dyDescent="0.25">
      <c r="A482" s="5">
        <v>1</v>
      </c>
      <c r="B482" s="6" t="str">
        <f>"LATERAL DA CALANDRA 8014"</f>
        <v>LATERAL DA CALANDRA 8014</v>
      </c>
      <c r="C482" s="6" t="str">
        <f>"33988014"</f>
        <v>33988014</v>
      </c>
      <c r="D482" s="10">
        <v>8014</v>
      </c>
      <c r="E482" s="12" t="s">
        <v>13</v>
      </c>
    </row>
    <row r="483" spans="1:5" x14ac:dyDescent="0.25">
      <c r="A483" s="4">
        <v>1</v>
      </c>
      <c r="B483" t="str">
        <f>"LATERAL DA CALANDRA 8015"</f>
        <v>LATERAL DA CALANDRA 8015</v>
      </c>
      <c r="C483" t="str">
        <f>"33988015"</f>
        <v>33988015</v>
      </c>
      <c r="D483" s="9">
        <v>8015</v>
      </c>
      <c r="E483" s="12" t="s">
        <v>13</v>
      </c>
    </row>
    <row r="484" spans="1:5" x14ac:dyDescent="0.25">
      <c r="A484" s="5">
        <v>1</v>
      </c>
      <c r="B484" s="6" t="str">
        <f>"LATERAL - 8237V01"</f>
        <v>LATERAL - 8237V01</v>
      </c>
      <c r="C484" s="6" t="str">
        <f>"33988237V01"</f>
        <v>33988237V01</v>
      </c>
      <c r="D484" s="10">
        <v>8237</v>
      </c>
      <c r="E484" s="12" t="s">
        <v>13</v>
      </c>
    </row>
    <row r="485" spans="1:5" x14ac:dyDescent="0.25">
      <c r="A485" s="4">
        <v>1</v>
      </c>
      <c r="B485" t="str">
        <f>"LATERAL - 8237V02"</f>
        <v>LATERAL - 8237V02</v>
      </c>
      <c r="C485" t="str">
        <f>"33988237V02"</f>
        <v>33988237V02</v>
      </c>
      <c r="D485" s="9">
        <v>8237</v>
      </c>
      <c r="E485" s="12" t="s">
        <v>13</v>
      </c>
    </row>
    <row r="486" spans="1:5" x14ac:dyDescent="0.25">
      <c r="A486" s="5">
        <v>8</v>
      </c>
      <c r="B486" s="6" t="str">
        <f>"MANCAL - 0234"</f>
        <v>MANCAL - 0234</v>
      </c>
      <c r="C486" s="6" t="str">
        <f>"34180234"</f>
        <v>34180234</v>
      </c>
      <c r="D486" s="10">
        <v>234</v>
      </c>
      <c r="E486" s="12" t="s">
        <v>13</v>
      </c>
    </row>
    <row r="487" spans="1:5" x14ac:dyDescent="0.25">
      <c r="A487" s="4">
        <v>2</v>
      </c>
      <c r="B487" t="str">
        <f>"MANCAL - 1129"</f>
        <v>MANCAL - 1129</v>
      </c>
      <c r="C487" t="str">
        <f>"34181129"</f>
        <v>34181129</v>
      </c>
      <c r="D487" s="9">
        <v>1129</v>
      </c>
      <c r="E487" s="12" t="s">
        <v>13</v>
      </c>
    </row>
    <row r="488" spans="1:5" x14ac:dyDescent="0.25">
      <c r="A488" s="5">
        <v>2</v>
      </c>
      <c r="B488" s="6" t="str">
        <f>"MANCAL 1966"</f>
        <v>MANCAL 1966</v>
      </c>
      <c r="C488" s="6" t="str">
        <f>"34181966"</f>
        <v>34181966</v>
      </c>
      <c r="D488" s="10">
        <v>1966</v>
      </c>
      <c r="E488" s="12" t="s">
        <v>13</v>
      </c>
    </row>
    <row r="489" spans="1:5" x14ac:dyDescent="0.25">
      <c r="A489" s="4">
        <v>1</v>
      </c>
      <c r="B489" t="str">
        <f>"MANCAL 2040"</f>
        <v>MANCAL 2040</v>
      </c>
      <c r="C489" t="str">
        <f>"34182040"</f>
        <v>34182040</v>
      </c>
      <c r="D489" s="9">
        <v>2040</v>
      </c>
      <c r="E489" s="12" t="s">
        <v>13</v>
      </c>
    </row>
    <row r="490" spans="1:5" x14ac:dyDescent="0.25">
      <c r="A490" s="5">
        <v>1</v>
      </c>
      <c r="B490" s="6" t="str">
        <f>"MANCAL - 2060"</f>
        <v>MANCAL - 2060</v>
      </c>
      <c r="C490" s="6" t="str">
        <f>"34182060"</f>
        <v>34182060</v>
      </c>
      <c r="D490" s="10">
        <v>2060</v>
      </c>
      <c r="E490" s="12" t="s">
        <v>13</v>
      </c>
    </row>
    <row r="491" spans="1:5" x14ac:dyDescent="0.25">
      <c r="A491" s="4">
        <v>8</v>
      </c>
      <c r="B491" t="str">
        <f>"MANCAL - 2179"</f>
        <v>MANCAL - 2179</v>
      </c>
      <c r="C491" t="str">
        <f>"34182179"</f>
        <v>34182179</v>
      </c>
      <c r="D491" s="9">
        <v>2179</v>
      </c>
      <c r="E491" s="12" t="s">
        <v>13</v>
      </c>
    </row>
    <row r="492" spans="1:5" x14ac:dyDescent="0.25">
      <c r="A492" s="5">
        <v>2</v>
      </c>
      <c r="B492" s="6" t="str">
        <f>"MANCAL DA BALANÇA"</f>
        <v>MANCAL DA BALANÇA</v>
      </c>
      <c r="C492" s="6" t="str">
        <f>"34185219"</f>
        <v>34185219</v>
      </c>
      <c r="D492" s="10">
        <v>5219</v>
      </c>
      <c r="E492" s="12" t="s">
        <v>13</v>
      </c>
    </row>
    <row r="493" spans="1:5" x14ac:dyDescent="0.25">
      <c r="A493" s="4">
        <v>2</v>
      </c>
      <c r="B493" t="str">
        <f>"MANCAL - 5757"</f>
        <v>MANCAL - 5757</v>
      </c>
      <c r="C493" t="str">
        <f>"34185757"</f>
        <v>34185757</v>
      </c>
      <c r="D493" s="9">
        <v>5757</v>
      </c>
      <c r="E493" s="12" t="s">
        <v>13</v>
      </c>
    </row>
    <row r="494" spans="1:5" x14ac:dyDescent="0.25">
      <c r="A494" s="5">
        <v>4</v>
      </c>
      <c r="B494" s="6" t="str">
        <f>"MANCAL"</f>
        <v>MANCAL</v>
      </c>
      <c r="C494" s="6" t="str">
        <f>"34186330"</f>
        <v>34186330</v>
      </c>
      <c r="D494" s="10">
        <v>6330</v>
      </c>
      <c r="E494" s="12" t="s">
        <v>13</v>
      </c>
    </row>
    <row r="495" spans="1:5" x14ac:dyDescent="0.25">
      <c r="A495" s="4">
        <v>2</v>
      </c>
      <c r="B495" t="str">
        <f>"MANCAL"</f>
        <v>MANCAL</v>
      </c>
      <c r="C495" t="str">
        <f>"34186331"</f>
        <v>34186331</v>
      </c>
      <c r="D495" s="9">
        <v>6331</v>
      </c>
      <c r="E495" s="12" t="s">
        <v>13</v>
      </c>
    </row>
    <row r="496" spans="1:5" x14ac:dyDescent="0.25">
      <c r="A496" s="5">
        <v>2</v>
      </c>
      <c r="B496" s="6" t="str">
        <f>"MANCAL DA BALANÇA - 8018"</f>
        <v>MANCAL DA BALANÇA - 8018</v>
      </c>
      <c r="C496" s="6" t="str">
        <f>"34188018"</f>
        <v>34188018</v>
      </c>
      <c r="D496" s="10">
        <v>8018</v>
      </c>
      <c r="E496" s="12" t="s">
        <v>13</v>
      </c>
    </row>
    <row r="497" spans="1:5" x14ac:dyDescent="0.25">
      <c r="A497" s="4">
        <v>4</v>
      </c>
      <c r="B497" t="str">
        <f>"MANCAL - 8030"</f>
        <v>MANCAL - 8030</v>
      </c>
      <c r="C497" t="str">
        <f>"34188030"</f>
        <v>34188030</v>
      </c>
      <c r="D497" s="9">
        <v>8030</v>
      </c>
      <c r="E497" s="12" t="s">
        <v>13</v>
      </c>
    </row>
    <row r="498" spans="1:5" x14ac:dyDescent="0.25">
      <c r="A498" s="5">
        <v>4</v>
      </c>
      <c r="B498" s="6" t="str">
        <f>"MANCAL - 8031"</f>
        <v>MANCAL - 8031</v>
      </c>
      <c r="C498" s="6" t="str">
        <f>"34188031"</f>
        <v>34188031</v>
      </c>
      <c r="D498" s="10">
        <v>8031</v>
      </c>
      <c r="E498" s="12" t="s">
        <v>13</v>
      </c>
    </row>
    <row r="499" spans="1:5" x14ac:dyDescent="0.25">
      <c r="A499" s="4">
        <v>8</v>
      </c>
      <c r="B499" t="str">
        <f>"MANCAL - 8032"</f>
        <v>MANCAL - 8032</v>
      </c>
      <c r="C499" t="str">
        <f>"34188032"</f>
        <v>34188032</v>
      </c>
      <c r="D499" s="9">
        <v>8032</v>
      </c>
      <c r="E499" s="12" t="s">
        <v>13</v>
      </c>
    </row>
    <row r="500" spans="1:5" x14ac:dyDescent="0.25">
      <c r="A500" s="5">
        <v>4</v>
      </c>
      <c r="B500" s="6" t="str">
        <f>"MANCAL - 8033"</f>
        <v>MANCAL - 8033</v>
      </c>
      <c r="C500" s="6" t="str">
        <f>"34188033"</f>
        <v>34188033</v>
      </c>
      <c r="D500" s="10">
        <v>8033</v>
      </c>
      <c r="E500" s="12" t="s">
        <v>13</v>
      </c>
    </row>
    <row r="501" spans="1:5" x14ac:dyDescent="0.25">
      <c r="A501" s="4">
        <v>4</v>
      </c>
      <c r="B501" t="str">
        <f>"MANCAL - 8034"</f>
        <v>MANCAL - 8034</v>
      </c>
      <c r="C501" t="str">
        <f>"34188034"</f>
        <v>34188034</v>
      </c>
      <c r="D501" s="9">
        <v>8034</v>
      </c>
      <c r="E501" s="12" t="s">
        <v>13</v>
      </c>
    </row>
    <row r="502" spans="1:5" x14ac:dyDescent="0.25">
      <c r="A502" s="5">
        <v>4</v>
      </c>
      <c r="B502" s="6" t="str">
        <f>"MANCAL - 8035"</f>
        <v>MANCAL - 8035</v>
      </c>
      <c r="C502" s="6" t="str">
        <f>"34188035"</f>
        <v>34188035</v>
      </c>
      <c r="D502" s="10">
        <v>8035</v>
      </c>
      <c r="E502" s="12" t="s">
        <v>13</v>
      </c>
    </row>
    <row r="503" spans="1:5" x14ac:dyDescent="0.25">
      <c r="A503" s="4">
        <v>4</v>
      </c>
      <c r="B503" t="str">
        <f>"MANCAL - 8036"</f>
        <v>MANCAL - 8036</v>
      </c>
      <c r="C503" t="str">
        <f>"34188036"</f>
        <v>34188036</v>
      </c>
      <c r="D503" s="9">
        <v>8036</v>
      </c>
      <c r="E503" s="12" t="s">
        <v>13</v>
      </c>
    </row>
    <row r="504" spans="1:5" x14ac:dyDescent="0.25">
      <c r="A504" s="5">
        <v>8</v>
      </c>
      <c r="B504" s="6" t="str">
        <f>"MANCAL - 8039"</f>
        <v>MANCAL - 8039</v>
      </c>
      <c r="C504" s="6" t="str">
        <f>"34188039"</f>
        <v>34188039</v>
      </c>
      <c r="D504" s="10">
        <v>8039</v>
      </c>
      <c r="E504" s="12" t="s">
        <v>13</v>
      </c>
    </row>
    <row r="505" spans="1:5" x14ac:dyDescent="0.25">
      <c r="A505" s="4">
        <v>4</v>
      </c>
      <c r="B505" t="str">
        <f>"MANCAL - 8046"</f>
        <v>MANCAL - 8046</v>
      </c>
      <c r="C505" t="str">
        <f>"34188046"</f>
        <v>34188046</v>
      </c>
      <c r="D505" s="9">
        <v>8046</v>
      </c>
      <c r="E505" s="12" t="s">
        <v>13</v>
      </c>
    </row>
    <row r="506" spans="1:5" x14ac:dyDescent="0.25">
      <c r="A506" s="5">
        <v>4</v>
      </c>
      <c r="B506" s="6" t="str">
        <f>"MANCAL - 8047"</f>
        <v>MANCAL - 8047</v>
      </c>
      <c r="C506" s="6" t="str">
        <f>"34188047"</f>
        <v>34188047</v>
      </c>
      <c r="D506" s="10">
        <v>8047</v>
      </c>
      <c r="E506" s="12" t="s">
        <v>13</v>
      </c>
    </row>
    <row r="507" spans="1:5" x14ac:dyDescent="0.25">
      <c r="A507" s="4">
        <v>4</v>
      </c>
      <c r="B507" t="str">
        <f>"MANCAL - 8048"</f>
        <v>MANCAL - 8048</v>
      </c>
      <c r="C507" t="str">
        <f>"34188048"</f>
        <v>34188048</v>
      </c>
      <c r="D507" s="9">
        <v>8048</v>
      </c>
      <c r="E507" s="12" t="s">
        <v>13</v>
      </c>
    </row>
    <row r="508" spans="1:5" x14ac:dyDescent="0.25">
      <c r="A508" s="5">
        <v>4</v>
      </c>
      <c r="B508" s="6" t="str">
        <f>"MANCAL - 8049"</f>
        <v>MANCAL - 8049</v>
      </c>
      <c r="C508" s="6" t="str">
        <f>"34188049"</f>
        <v>34188049</v>
      </c>
      <c r="D508" s="10">
        <v>8049</v>
      </c>
      <c r="E508" s="12" t="s">
        <v>13</v>
      </c>
    </row>
    <row r="509" spans="1:5" x14ac:dyDescent="0.25">
      <c r="A509" s="4">
        <v>16</v>
      </c>
      <c r="B509" t="str">
        <f>"MANCAL - 8050"</f>
        <v>MANCAL - 8050</v>
      </c>
      <c r="C509" t="str">
        <f>"34188050"</f>
        <v>34188050</v>
      </c>
      <c r="D509" s="9">
        <v>8050</v>
      </c>
      <c r="E509" s="12" t="s">
        <v>13</v>
      </c>
    </row>
    <row r="510" spans="1:5" x14ac:dyDescent="0.25">
      <c r="A510" s="5">
        <v>4</v>
      </c>
      <c r="B510" s="6" t="str">
        <f>"MANCAL - 8057"</f>
        <v>MANCAL - 8057</v>
      </c>
      <c r="C510" s="6" t="str">
        <f>"34188057"</f>
        <v>34188057</v>
      </c>
      <c r="D510" s="10">
        <v>8057</v>
      </c>
      <c r="E510" s="12" t="s">
        <v>13</v>
      </c>
    </row>
    <row r="511" spans="1:5" x14ac:dyDescent="0.25">
      <c r="A511" s="4">
        <v>4</v>
      </c>
      <c r="B511" t="str">
        <f>"MANCAL - 8058"</f>
        <v>MANCAL - 8058</v>
      </c>
      <c r="C511" t="str">
        <f>"34188058"</f>
        <v>34188058</v>
      </c>
      <c r="D511" s="9">
        <v>8058</v>
      </c>
      <c r="E511" s="12" t="s">
        <v>13</v>
      </c>
    </row>
    <row r="512" spans="1:5" x14ac:dyDescent="0.25">
      <c r="A512" s="5">
        <v>4</v>
      </c>
      <c r="B512" s="6" t="str">
        <f>"MANCAL - 8067"</f>
        <v>MANCAL - 8067</v>
      </c>
      <c r="C512" s="6" t="str">
        <f>"34188067"</f>
        <v>34188067</v>
      </c>
      <c r="D512" s="10">
        <v>8067</v>
      </c>
      <c r="E512" s="12" t="s">
        <v>13</v>
      </c>
    </row>
    <row r="513" spans="1:5" x14ac:dyDescent="0.25">
      <c r="A513" s="4">
        <v>4</v>
      </c>
      <c r="B513" t="str">
        <f>"MANCAL - 8068"</f>
        <v>MANCAL - 8068</v>
      </c>
      <c r="C513" t="str">
        <f>"34188068"</f>
        <v>34188068</v>
      </c>
      <c r="D513" s="9">
        <v>8068</v>
      </c>
      <c r="E513" s="12" t="s">
        <v>13</v>
      </c>
    </row>
    <row r="514" spans="1:5" x14ac:dyDescent="0.25">
      <c r="A514" s="5">
        <v>1</v>
      </c>
      <c r="B514" s="6" t="str">
        <f>"MANCAL - 8150"</f>
        <v>MANCAL - 8150</v>
      </c>
      <c r="C514" s="6" t="str">
        <f>"34188150"</f>
        <v>34188150</v>
      </c>
      <c r="D514" s="10">
        <v>8150</v>
      </c>
      <c r="E514" s="12" t="s">
        <v>13</v>
      </c>
    </row>
    <row r="515" spans="1:5" x14ac:dyDescent="0.25">
      <c r="A515" s="4">
        <v>1</v>
      </c>
      <c r="B515" t="str">
        <f>"MANCAL - 8151"</f>
        <v>MANCAL - 8151</v>
      </c>
      <c r="C515" t="str">
        <f>"34188151"</f>
        <v>34188151</v>
      </c>
      <c r="D515" s="9">
        <v>8151</v>
      </c>
      <c r="E515" s="12" t="s">
        <v>13</v>
      </c>
    </row>
    <row r="516" spans="1:5" x14ac:dyDescent="0.25">
      <c r="A516" s="5">
        <v>1</v>
      </c>
      <c r="B516" s="6" t="str">
        <f>"MANCAL - 8152"</f>
        <v>MANCAL - 8152</v>
      </c>
      <c r="C516" s="6" t="str">
        <f>"34188152"</f>
        <v>34188152</v>
      </c>
      <c r="D516" s="10">
        <v>8152</v>
      </c>
      <c r="E516" s="12" t="s">
        <v>13</v>
      </c>
    </row>
    <row r="517" spans="1:5" x14ac:dyDescent="0.25">
      <c r="A517" s="4">
        <v>1</v>
      </c>
      <c r="B517" t="str">
        <f>"MANCAL - 8155"</f>
        <v>MANCAL - 8155</v>
      </c>
      <c r="C517" t="str">
        <f>"34188155"</f>
        <v>34188155</v>
      </c>
      <c r="D517" s="9">
        <v>8155</v>
      </c>
      <c r="E517" s="12" t="s">
        <v>13</v>
      </c>
    </row>
    <row r="518" spans="1:5" x14ac:dyDescent="0.25">
      <c r="A518" s="5">
        <v>8</v>
      </c>
      <c r="B518" s="6" t="str">
        <f>"MANDRIL PORTA CLICHE Ø 101,975  ZETA 1000"</f>
        <v>MANDRIL PORTA CLICHE Ø 101,975  ZETA 1000</v>
      </c>
      <c r="C518" s="6" t="str">
        <f>"34208002ZE0V02"</f>
        <v>34208002ZE0V02</v>
      </c>
      <c r="D518" s="10">
        <v>8002</v>
      </c>
      <c r="E518" s="12" t="s">
        <v>13</v>
      </c>
    </row>
    <row r="519" spans="1:5" x14ac:dyDescent="0.25">
      <c r="A519" s="4">
        <v>8</v>
      </c>
      <c r="B519" t="str">
        <f>"MANDRIL PORTA CAMISA ANILOX P/ ZETA 1000 - Ø 121"</f>
        <v>MANDRIL PORTA CAMISA ANILOX P/ ZETA 1000 - Ø 121</v>
      </c>
      <c r="C519" t="str">
        <f>"34208003ZE0V01"</f>
        <v>34208003ZE0V01</v>
      </c>
      <c r="D519" s="9">
        <v>8003</v>
      </c>
      <c r="E519" s="12" t="s">
        <v>13</v>
      </c>
    </row>
    <row r="520" spans="1:5" x14ac:dyDescent="0.25">
      <c r="A520" s="5">
        <v>2</v>
      </c>
      <c r="B520" s="6" t="str">
        <f>"MANIPULO - 0011"</f>
        <v>MANIPULO - 0011</v>
      </c>
      <c r="C520" s="6" t="str">
        <f>"34260011ax5"</f>
        <v>34260011ax5</v>
      </c>
      <c r="D520" s="10">
        <v>11</v>
      </c>
      <c r="E520" s="12" t="s">
        <v>13</v>
      </c>
    </row>
    <row r="521" spans="1:5" x14ac:dyDescent="0.25">
      <c r="A521" s="4">
        <v>24</v>
      </c>
      <c r="B521" t="str">
        <f>"MANIPULO A = 120"</f>
        <v>MANIPULO A = 120</v>
      </c>
      <c r="C521" t="str">
        <f>"34260536V02"</f>
        <v>34260536V02</v>
      </c>
      <c r="D521" s="9">
        <v>536</v>
      </c>
      <c r="E521" s="12" t="s">
        <v>13</v>
      </c>
    </row>
    <row r="522" spans="1:5" x14ac:dyDescent="0.25">
      <c r="A522" s="5">
        <v>4</v>
      </c>
      <c r="B522" s="6" t="str">
        <f>"MANIPULO - 8114"</f>
        <v>MANIPULO - 8114</v>
      </c>
      <c r="C522" s="6" t="str">
        <f>"34268114"</f>
        <v>34268114</v>
      </c>
      <c r="D522" s="10">
        <v>8114</v>
      </c>
      <c r="E522" s="12" t="s">
        <v>13</v>
      </c>
    </row>
    <row r="523" spans="1:5" x14ac:dyDescent="0.25">
      <c r="A523" s="4">
        <v>3</v>
      </c>
      <c r="B523" t="str">
        <f>"MANIPULO"</f>
        <v>MANIPULO</v>
      </c>
      <c r="C523" t="str">
        <f>"34268220"</f>
        <v>34268220</v>
      </c>
      <c r="D523" s="9">
        <v>8220</v>
      </c>
      <c r="E523" s="12" t="s">
        <v>13</v>
      </c>
    </row>
    <row r="524" spans="1:5" x14ac:dyDescent="0.25">
      <c r="A524" s="5">
        <v>1</v>
      </c>
      <c r="B524" s="6" t="str">
        <f>"MESA DE LUZ"</f>
        <v>MESA DE LUZ</v>
      </c>
      <c r="C524" s="6" t="str">
        <f>"34362185"</f>
        <v>34362185</v>
      </c>
      <c r="D524" s="10">
        <v>2185</v>
      </c>
      <c r="E524" s="12" t="s">
        <v>13</v>
      </c>
    </row>
    <row r="525" spans="1:5" x14ac:dyDescent="0.25">
      <c r="A525" s="4">
        <v>1</v>
      </c>
      <c r="B525" t="str">
        <f>"MESA"</f>
        <v>MESA</v>
      </c>
      <c r="C525" t="str">
        <f>"34365183"</f>
        <v>34365183</v>
      </c>
      <c r="D525" s="9">
        <v>5183</v>
      </c>
      <c r="E525" s="12" t="s">
        <v>13</v>
      </c>
    </row>
    <row r="526" spans="1:5" x14ac:dyDescent="0.25">
      <c r="A526" s="5">
        <v>1</v>
      </c>
      <c r="B526" s="6" t="str">
        <f>"MESA DO PAINEL - 8351"</f>
        <v>MESA DO PAINEL - 8351</v>
      </c>
      <c r="C526" s="6" t="str">
        <f>"34368351"</f>
        <v>34368351</v>
      </c>
      <c r="D526" s="10">
        <v>8351</v>
      </c>
      <c r="E526" s="12" t="s">
        <v>13</v>
      </c>
    </row>
    <row r="527" spans="1:5" x14ac:dyDescent="0.25">
      <c r="A527" s="4">
        <v>4</v>
      </c>
      <c r="B527" t="str">
        <f>"MODULO"</f>
        <v>MODULO</v>
      </c>
      <c r="C527" t="str">
        <f>"34380619"</f>
        <v>34380619</v>
      </c>
      <c r="D527" s="9">
        <v>619</v>
      </c>
      <c r="E527" s="12" t="s">
        <v>13</v>
      </c>
    </row>
    <row r="528" spans="1:5" x14ac:dyDescent="0.25">
      <c r="A528" s="5">
        <v>4</v>
      </c>
      <c r="B528" s="6" t="str">
        <f>"MODULO (CHAPA) - 0619 V02"</f>
        <v>MODULO (CHAPA) - 0619 V02</v>
      </c>
      <c r="C528" s="6" t="str">
        <f>"34380619V02"</f>
        <v>34380619V02</v>
      </c>
      <c r="D528" s="10">
        <v>619</v>
      </c>
      <c r="E528" s="12" t="s">
        <v>13</v>
      </c>
    </row>
    <row r="529" spans="1:5" x14ac:dyDescent="0.25">
      <c r="A529" s="4">
        <v>4</v>
      </c>
      <c r="B529" t="str">
        <f>"MODULO (CHAPA) - 0619 V05"</f>
        <v>MODULO (CHAPA) - 0619 V05</v>
      </c>
      <c r="C529" t="str">
        <f>"34380619V05"</f>
        <v>34380619V05</v>
      </c>
      <c r="D529" s="9">
        <v>619</v>
      </c>
      <c r="E529" s="12" t="s">
        <v>13</v>
      </c>
    </row>
    <row r="530" spans="1:5" x14ac:dyDescent="0.25">
      <c r="A530" s="5">
        <v>64</v>
      </c>
      <c r="B530" s="6" t="str">
        <f>"MOLA DE COMPRESSAO - 1220"</f>
        <v>MOLA DE COMPRESSAO - 1220</v>
      </c>
      <c r="C530" s="6" t="str">
        <f>"34401220"</f>
        <v>34401220</v>
      </c>
      <c r="D530" s="10">
        <v>1220</v>
      </c>
      <c r="E530" s="12" t="s">
        <v>13</v>
      </c>
    </row>
    <row r="531" spans="1:5" x14ac:dyDescent="0.25">
      <c r="A531" s="4">
        <v>24</v>
      </c>
      <c r="B531" t="str">
        <f>"PARAFUSO NIVELADOR - 0497"</f>
        <v>PARAFUSO NIVELADOR - 0497</v>
      </c>
      <c r="C531" t="str">
        <f>"34760497"</f>
        <v>34760497</v>
      </c>
      <c r="D531" s="9">
        <v>497</v>
      </c>
      <c r="E531" s="12" t="s">
        <v>13</v>
      </c>
    </row>
    <row r="532" spans="1:5" x14ac:dyDescent="0.25">
      <c r="A532" s="5">
        <v>16</v>
      </c>
      <c r="B532" s="6" t="str">
        <f>"PARAFUSO NIVELADOR - 5586"</f>
        <v>PARAFUSO NIVELADOR - 5586</v>
      </c>
      <c r="C532" s="6" t="str">
        <f>"34765586"</f>
        <v>34765586</v>
      </c>
      <c r="D532" s="10">
        <v>5586</v>
      </c>
      <c r="E532" s="12" t="s">
        <v>13</v>
      </c>
    </row>
    <row r="533" spans="1:5" x14ac:dyDescent="0.25">
      <c r="A533" s="4">
        <v>2</v>
      </c>
      <c r="B533" t="str">
        <f>"PARAFUSO DE REGULAGEM - 5648"</f>
        <v>PARAFUSO DE REGULAGEM - 5648</v>
      </c>
      <c r="C533" t="str">
        <f>"34765648"</f>
        <v>34765648</v>
      </c>
      <c r="D533" s="9">
        <v>5648</v>
      </c>
      <c r="E533" s="12" t="s">
        <v>13</v>
      </c>
    </row>
    <row r="534" spans="1:5" x14ac:dyDescent="0.25">
      <c r="A534" s="5">
        <v>4</v>
      </c>
      <c r="B534" s="6" t="str">
        <f>"PARAFUSO - 6271"</f>
        <v>PARAFUSO - 6271</v>
      </c>
      <c r="C534" s="6" t="str">
        <f>"34766271"</f>
        <v>34766271</v>
      </c>
      <c r="D534" s="10">
        <v>6271</v>
      </c>
      <c r="E534" s="12" t="s">
        <v>13</v>
      </c>
    </row>
    <row r="535" spans="1:5" x14ac:dyDescent="0.25">
      <c r="A535" s="4">
        <v>16</v>
      </c>
      <c r="B535" t="str">
        <f>"PARAFUSO - 8065"</f>
        <v>PARAFUSO - 8065</v>
      </c>
      <c r="C535" t="str">
        <f>"34768065"</f>
        <v>34768065</v>
      </c>
      <c r="D535" s="9">
        <v>8065</v>
      </c>
      <c r="E535" s="12" t="s">
        <v>13</v>
      </c>
    </row>
    <row r="536" spans="1:5" x14ac:dyDescent="0.25">
      <c r="A536" s="5">
        <v>8</v>
      </c>
      <c r="B536" s="6" t="str">
        <f>"PINO - 0595"</f>
        <v>PINO - 0595</v>
      </c>
      <c r="C536" s="6" t="str">
        <f>"34880595"</f>
        <v>34880595</v>
      </c>
      <c r="D536" s="10">
        <v>595</v>
      </c>
      <c r="E536" s="12" t="s">
        <v>13</v>
      </c>
    </row>
    <row r="537" spans="1:5" x14ac:dyDescent="0.25">
      <c r="A537" s="4">
        <v>16</v>
      </c>
      <c r="B537" t="str">
        <f>"PINO - 1624V01"</f>
        <v>PINO - 1624V01</v>
      </c>
      <c r="C537" t="str">
        <f>"34881624V01"</f>
        <v>34881624V01</v>
      </c>
      <c r="D537" s="9">
        <v>1624</v>
      </c>
      <c r="E537" s="12" t="s">
        <v>13</v>
      </c>
    </row>
    <row r="538" spans="1:5" x14ac:dyDescent="0.25">
      <c r="A538" s="5">
        <v>2</v>
      </c>
      <c r="B538" s="6" t="str">
        <f>"PINO LIMITADOR"</f>
        <v>PINO LIMITADOR</v>
      </c>
      <c r="C538" s="6" t="str">
        <f>"34881969"</f>
        <v>34881969</v>
      </c>
      <c r="D538" s="10">
        <v>1969</v>
      </c>
      <c r="E538" s="12" t="s">
        <v>13</v>
      </c>
    </row>
    <row r="539" spans="1:5" x14ac:dyDescent="0.25">
      <c r="A539" s="4">
        <v>2</v>
      </c>
      <c r="B539" t="str">
        <f>"PINO SUPORTE DA CORRENTE"</f>
        <v>PINO SUPORTE DA CORRENTE</v>
      </c>
      <c r="C539" t="str">
        <f>"34882814"</f>
        <v>34882814</v>
      </c>
      <c r="D539" s="9">
        <v>2814</v>
      </c>
      <c r="E539" s="12" t="s">
        <v>13</v>
      </c>
    </row>
    <row r="540" spans="1:5" x14ac:dyDescent="0.25">
      <c r="A540" s="5">
        <v>4</v>
      </c>
      <c r="B540" s="6" t="str">
        <f>"PINO GUIA DO CONTRA-PESO"</f>
        <v>PINO GUIA DO CONTRA-PESO</v>
      </c>
      <c r="C540" s="6" t="str">
        <f>"34885220"</f>
        <v>34885220</v>
      </c>
      <c r="D540" s="10">
        <v>5220</v>
      </c>
      <c r="E540" s="12" t="s">
        <v>13</v>
      </c>
    </row>
    <row r="541" spans="1:5" x14ac:dyDescent="0.25">
      <c r="A541" s="4">
        <v>16</v>
      </c>
      <c r="B541" t="str">
        <f>"PINO ARTICULADOR - 8223"</f>
        <v>PINO ARTICULADOR - 8223</v>
      </c>
      <c r="C541" t="str">
        <f>"34888223"</f>
        <v>34888223</v>
      </c>
      <c r="D541" s="9">
        <v>8223</v>
      </c>
      <c r="E541" s="12" t="s">
        <v>13</v>
      </c>
    </row>
    <row r="542" spans="1:5" x14ac:dyDescent="0.25">
      <c r="A542" s="5">
        <v>2</v>
      </c>
      <c r="B542" s="6" t="str">
        <f>"PISO DO ARMARIO - 2214"</f>
        <v>PISO DO ARMARIO - 2214</v>
      </c>
      <c r="C542" s="6" t="str">
        <f>"34902214"</f>
        <v>34902214</v>
      </c>
      <c r="D542" s="10">
        <v>2214</v>
      </c>
      <c r="E542" s="12" t="s">
        <v>13</v>
      </c>
    </row>
    <row r="543" spans="1:5" x14ac:dyDescent="0.25">
      <c r="A543" s="4">
        <v>1</v>
      </c>
      <c r="B543" t="str">
        <f>"PISO DO ARMARIO - 2215"</f>
        <v>PISO DO ARMARIO - 2215</v>
      </c>
      <c r="C543" t="str">
        <f>"34902215"</f>
        <v>34902215</v>
      </c>
      <c r="D543" s="9">
        <v>2215</v>
      </c>
      <c r="E543" s="12" t="s">
        <v>13</v>
      </c>
    </row>
    <row r="544" spans="1:5" x14ac:dyDescent="0.25">
      <c r="A544" s="5">
        <v>1</v>
      </c>
      <c r="B544" s="6" t="str">
        <f>"PISO DO ARMARIO - 2215V01"</f>
        <v>PISO DO ARMARIO - 2215V01</v>
      </c>
      <c r="C544" s="6" t="str">
        <f>"34902215V01"</f>
        <v>34902215V01</v>
      </c>
      <c r="D544" s="10">
        <v>2215</v>
      </c>
      <c r="E544" s="12" t="s">
        <v>13</v>
      </c>
    </row>
    <row r="545" spans="1:5" x14ac:dyDescent="0.25">
      <c r="A545" s="4">
        <v>1</v>
      </c>
      <c r="B545" t="str">
        <f>"PISO MAQ. 1000"</f>
        <v>PISO MAQ. 1000</v>
      </c>
      <c r="C545" t="str">
        <f>"34905610BE0"</f>
        <v>34905610BE0</v>
      </c>
      <c r="D545" s="9">
        <v>5610</v>
      </c>
      <c r="E545" s="12" t="s">
        <v>13</v>
      </c>
    </row>
    <row r="546" spans="1:5" x14ac:dyDescent="0.25">
      <c r="A546" s="5">
        <v>4</v>
      </c>
      <c r="B546" s="6" t="str">
        <f>"PLACA DE FECHAMENTO"</f>
        <v>PLACA DE FECHAMENTO</v>
      </c>
      <c r="C546" s="6" t="str">
        <f>"34922128"</f>
        <v>34922128</v>
      </c>
      <c r="D546" s="10">
        <v>2128</v>
      </c>
      <c r="E546" s="12" t="s">
        <v>13</v>
      </c>
    </row>
    <row r="547" spans="1:5" x14ac:dyDescent="0.25">
      <c r="A547" s="4">
        <v>1</v>
      </c>
      <c r="B547" t="str">
        <f>"PLACA 5 A 8 COR - 5838"</f>
        <v>PLACA 5 A 8 COR - 5838</v>
      </c>
      <c r="C547" t="str">
        <f>"34925838"</f>
        <v>34925838</v>
      </c>
      <c r="D547" s="9">
        <v>5838</v>
      </c>
      <c r="E547" s="12" t="s">
        <v>13</v>
      </c>
    </row>
    <row r="548" spans="1:5" x14ac:dyDescent="0.25">
      <c r="A548" s="5">
        <v>1</v>
      </c>
      <c r="B548" s="6" t="str">
        <f>"PLACA 1 A 4 COR - 5840"</f>
        <v>PLACA 1 A 4 COR - 5840</v>
      </c>
      <c r="C548" s="6" t="str">
        <f>"34925840"</f>
        <v>34925840</v>
      </c>
      <c r="D548" s="10">
        <v>5840</v>
      </c>
      <c r="E548" s="12" t="s">
        <v>13</v>
      </c>
    </row>
    <row r="549" spans="1:5" x14ac:dyDescent="0.25">
      <c r="A549" s="4">
        <v>4</v>
      </c>
      <c r="B549" t="str">
        <f>"PLACA"</f>
        <v>PLACA</v>
      </c>
      <c r="C549" t="str">
        <f>"34926326"</f>
        <v>34926326</v>
      </c>
      <c r="D549" s="9">
        <v>6326</v>
      </c>
      <c r="E549" s="12" t="s">
        <v>13</v>
      </c>
    </row>
    <row r="550" spans="1:5" x14ac:dyDescent="0.25">
      <c r="A550" s="5">
        <v>4</v>
      </c>
      <c r="B550" s="6" t="str">
        <f>"PLACA"</f>
        <v>PLACA</v>
      </c>
      <c r="C550" s="6" t="str">
        <f>"34926327"</f>
        <v>34926327</v>
      </c>
      <c r="D550" s="10">
        <v>6327</v>
      </c>
      <c r="E550" s="12" t="s">
        <v>13</v>
      </c>
    </row>
    <row r="551" spans="1:5" x14ac:dyDescent="0.25">
      <c r="A551" s="4">
        <v>4</v>
      </c>
      <c r="B551" t="str">
        <f>"PLACA GUIA"</f>
        <v>PLACA GUIA</v>
      </c>
      <c r="C551" t="str">
        <f>"34926335"</f>
        <v>34926335</v>
      </c>
      <c r="D551" s="9">
        <v>6335</v>
      </c>
      <c r="E551" s="12" t="s">
        <v>13</v>
      </c>
    </row>
    <row r="552" spans="1:5" x14ac:dyDescent="0.25">
      <c r="A552" s="5">
        <v>1</v>
      </c>
      <c r="B552" s="6" t="str">
        <f>"PLACA DE MONTAGEM - 8183"</f>
        <v>PLACA DE MONTAGEM - 8183</v>
      </c>
      <c r="C552" s="6" t="str">
        <f>"34928183"</f>
        <v>34928183</v>
      </c>
      <c r="D552" s="10">
        <v>8183</v>
      </c>
      <c r="E552" s="12" t="s">
        <v>13</v>
      </c>
    </row>
    <row r="553" spans="1:5" x14ac:dyDescent="0.25">
      <c r="A553" s="4">
        <v>3</v>
      </c>
      <c r="B553" t="str">
        <f>"PLACA DE MONTAGEM - 8183AX"</f>
        <v>PLACA DE MONTAGEM - 8183AX</v>
      </c>
      <c r="C553" t="str">
        <f>"34928183AX"</f>
        <v>34928183AX</v>
      </c>
      <c r="D553" s="9">
        <v>8183</v>
      </c>
      <c r="E553" s="12" t="s">
        <v>13</v>
      </c>
    </row>
    <row r="554" spans="1:5" x14ac:dyDescent="0.25">
      <c r="A554" s="5">
        <v>1</v>
      </c>
      <c r="B554" s="6" t="str">
        <f>"PLACA DE MONTAGEM - 8183AX3"</f>
        <v>PLACA DE MONTAGEM - 8183AX3</v>
      </c>
      <c r="C554" s="6" t="str">
        <f>"34928183AX3"</f>
        <v>34928183AX3</v>
      </c>
      <c r="D554" s="10">
        <v>8183</v>
      </c>
      <c r="E554" s="12" t="s">
        <v>13</v>
      </c>
    </row>
    <row r="555" spans="1:5" x14ac:dyDescent="0.25">
      <c r="A555" s="4">
        <v>1</v>
      </c>
      <c r="B555" t="str">
        <f>"PLACA DE MONTAGEM - 8183AX4"</f>
        <v>PLACA DE MONTAGEM - 8183AX4</v>
      </c>
      <c r="C555" t="str">
        <f>"34928183AX4"</f>
        <v>34928183AX4</v>
      </c>
      <c r="D555" s="9">
        <v>8183</v>
      </c>
      <c r="E555" s="12" t="s">
        <v>13</v>
      </c>
    </row>
    <row r="556" spans="1:5" x14ac:dyDescent="0.25">
      <c r="A556" s="5">
        <v>1</v>
      </c>
      <c r="B556" s="6" t="str">
        <f>"PLACA DE MONTAGEM - 8183AX5"</f>
        <v>PLACA DE MONTAGEM - 8183AX5</v>
      </c>
      <c r="C556" s="6" t="str">
        <f>"34928183AX5"</f>
        <v>34928183AX5</v>
      </c>
      <c r="D556" s="10">
        <v>8183</v>
      </c>
      <c r="E556" s="12" t="s">
        <v>13</v>
      </c>
    </row>
    <row r="557" spans="1:5" x14ac:dyDescent="0.25">
      <c r="A557" s="4">
        <v>1</v>
      </c>
      <c r="B557" t="str">
        <f>"PLACA DE MONTAGEM - 8183AX6"</f>
        <v>PLACA DE MONTAGEM - 8183AX6</v>
      </c>
      <c r="C557" t="str">
        <f>"34928183AX6"</f>
        <v>34928183AX6</v>
      </c>
      <c r="D557" s="9">
        <v>8183</v>
      </c>
      <c r="E557" s="12" t="s">
        <v>13</v>
      </c>
    </row>
    <row r="558" spans="1:5" x14ac:dyDescent="0.25">
      <c r="A558" s="5">
        <v>1</v>
      </c>
      <c r="B558" s="6" t="str">
        <f>"PLACA DE MONTAGEM - 8183AX7"</f>
        <v>PLACA DE MONTAGEM - 8183AX7</v>
      </c>
      <c r="C558" s="6" t="str">
        <f>"34928183AX7"</f>
        <v>34928183AX7</v>
      </c>
      <c r="D558" s="10">
        <v>8183</v>
      </c>
      <c r="E558" s="12" t="s">
        <v>13</v>
      </c>
    </row>
    <row r="559" spans="1:5" x14ac:dyDescent="0.25">
      <c r="A559" s="4">
        <v>4</v>
      </c>
      <c r="B559" t="str">
        <f>"PLACA - 8186"</f>
        <v>PLACA - 8186</v>
      </c>
      <c r="C559" t="str">
        <f>"34928186"</f>
        <v>34928186</v>
      </c>
      <c r="D559" s="9">
        <v>8186</v>
      </c>
      <c r="E559" s="12" t="s">
        <v>13</v>
      </c>
    </row>
    <row r="560" spans="1:5" x14ac:dyDescent="0.25">
      <c r="A560" s="5">
        <v>2</v>
      </c>
      <c r="B560" s="6" t="str">
        <f>"PLACA - 8194"</f>
        <v>PLACA - 8194</v>
      </c>
      <c r="C560" s="6" t="str">
        <f>"34928194"</f>
        <v>34928194</v>
      </c>
      <c r="D560" s="10">
        <v>8194</v>
      </c>
      <c r="E560" s="12" t="s">
        <v>13</v>
      </c>
    </row>
    <row r="561" spans="1:5" x14ac:dyDescent="0.25">
      <c r="A561" s="4">
        <v>4</v>
      </c>
      <c r="B561" t="str">
        <f>"PLACA - 8196"</f>
        <v>PLACA - 8196</v>
      </c>
      <c r="C561" t="str">
        <f>"34928196"</f>
        <v>34928196</v>
      </c>
      <c r="D561" s="9">
        <v>8196</v>
      </c>
      <c r="E561" s="12" t="s">
        <v>13</v>
      </c>
    </row>
    <row r="562" spans="1:5" x14ac:dyDescent="0.25">
      <c r="A562" s="5">
        <v>4</v>
      </c>
      <c r="B562" s="6" t="str">
        <f>"PLACA - 8197"</f>
        <v>PLACA - 8197</v>
      </c>
      <c r="C562" s="6" t="str">
        <f>"34928197"</f>
        <v>34928197</v>
      </c>
      <c r="D562" s="10">
        <v>8197</v>
      </c>
      <c r="E562" s="12" t="s">
        <v>13</v>
      </c>
    </row>
    <row r="563" spans="1:5" x14ac:dyDescent="0.25">
      <c r="A563" s="4">
        <v>8</v>
      </c>
      <c r="B563" t="str">
        <f>"PLACA - 8199"</f>
        <v>PLACA - 8199</v>
      </c>
      <c r="C563" t="str">
        <f>"34928199"</f>
        <v>34928199</v>
      </c>
      <c r="D563" s="9">
        <v>8199</v>
      </c>
      <c r="E563" s="12" t="s">
        <v>13</v>
      </c>
    </row>
    <row r="564" spans="1:5" x14ac:dyDescent="0.25">
      <c r="A564" s="5">
        <v>32</v>
      </c>
      <c r="B564" s="6" t="str">
        <f>"POLIA SINCRONIZADORA 40 5M 15"</f>
        <v>POLIA SINCRONIZADORA 40 5M 15</v>
      </c>
      <c r="C564" s="6" t="str">
        <f>"34961651"</f>
        <v>34961651</v>
      </c>
      <c r="D564" s="10">
        <v>1651</v>
      </c>
      <c r="E564" s="12" t="s">
        <v>13</v>
      </c>
    </row>
    <row r="565" spans="1:5" x14ac:dyDescent="0.25">
      <c r="A565" s="4">
        <v>8</v>
      </c>
      <c r="B565" t="str">
        <f>"POLIA SINCRONIZADORA - 22 8M"</f>
        <v>POLIA SINCRONIZADORA - 22 8M</v>
      </c>
      <c r="C565" t="str">
        <f>"34961700"</f>
        <v>34961700</v>
      </c>
      <c r="D565" s="9">
        <v>1700</v>
      </c>
      <c r="E565" s="12" t="s">
        <v>13</v>
      </c>
    </row>
    <row r="566" spans="1:5" x14ac:dyDescent="0.25">
      <c r="A566" s="5">
        <v>8</v>
      </c>
      <c r="B566" s="6" t="str">
        <f>"POLIA SINCRONIZADORA 64-8M"</f>
        <v>POLIA SINCRONIZADORA 64-8M</v>
      </c>
      <c r="C566" s="6" t="str">
        <f>"34961701"</f>
        <v>34961701</v>
      </c>
      <c r="D566" s="10">
        <v>1701</v>
      </c>
      <c r="E566" s="12" t="s">
        <v>13</v>
      </c>
    </row>
    <row r="567" spans="1:5" x14ac:dyDescent="0.25">
      <c r="A567" s="4">
        <v>4</v>
      </c>
      <c r="B567" t="str">
        <f>"POLIA ESTICADORA"</f>
        <v>POLIA ESTICADORA</v>
      </c>
      <c r="C567" t="str">
        <f>"34961933"</f>
        <v>34961933</v>
      </c>
      <c r="D567" s="9">
        <v>1933</v>
      </c>
      <c r="E567" s="12" t="s">
        <v>13</v>
      </c>
    </row>
    <row r="568" spans="1:5" x14ac:dyDescent="0.25">
      <c r="A568" s="5">
        <v>4</v>
      </c>
      <c r="B568" s="6" t="str">
        <f>"POLIA SINCRONIZADORA - 64 8 M"</f>
        <v>POLIA SINCRONIZADORA - 64 8 M</v>
      </c>
      <c r="C568" s="6" t="str">
        <f>"34961942"</f>
        <v>34961942</v>
      </c>
      <c r="D568" s="10">
        <v>1942</v>
      </c>
      <c r="E568" s="12" t="s">
        <v>13</v>
      </c>
    </row>
    <row r="569" spans="1:5" x14ac:dyDescent="0.25">
      <c r="A569" s="4">
        <v>4</v>
      </c>
      <c r="B569" t="str">
        <f>"POLIA SINCRONIZADORA  72 - 8M 50"</f>
        <v>POLIA SINCRONIZADORA  72 - 8M 50</v>
      </c>
      <c r="C569" t="str">
        <f>"34961945"</f>
        <v>34961945</v>
      </c>
      <c r="D569" s="9">
        <v>1945</v>
      </c>
      <c r="E569" s="12" t="s">
        <v>13</v>
      </c>
    </row>
    <row r="570" spans="1:5" x14ac:dyDescent="0.25">
      <c r="A570" s="5">
        <v>1</v>
      </c>
      <c r="B570" s="6" t="str">
        <f>"POLIA SINCRONIZADORA  36-8M 50 MOTOR 6 CV"</f>
        <v>POLIA SINCRONIZADORA  36-8M 50 MOTOR 6 CV</v>
      </c>
      <c r="C570" s="6" t="str">
        <f>"34962041V01"</f>
        <v>34962041V01</v>
      </c>
      <c r="D570" s="10">
        <v>2041</v>
      </c>
      <c r="E570" s="12" t="s">
        <v>13</v>
      </c>
    </row>
    <row r="571" spans="1:5" x14ac:dyDescent="0.25">
      <c r="A571" s="4">
        <v>4</v>
      </c>
      <c r="B571" t="str">
        <f>"POLIA SINCRONZADORA  36 - 8M 50 - 2041V03"</f>
        <v>POLIA SINCRONZADORA  36 - 8M 50 - 2041V03</v>
      </c>
      <c r="C571" t="str">
        <f>"34962041V03"</f>
        <v>34962041V03</v>
      </c>
      <c r="D571" s="9">
        <v>2041</v>
      </c>
      <c r="E571" s="12" t="s">
        <v>13</v>
      </c>
    </row>
    <row r="572" spans="1:5" x14ac:dyDescent="0.25">
      <c r="A572" s="5">
        <v>1</v>
      </c>
      <c r="B572" s="6" t="str">
        <f>"POLIA SINCRONIZADORA  112 - 8M 50"</f>
        <v>POLIA SINCRONIZADORA  112 - 8M 50</v>
      </c>
      <c r="C572" s="6" t="str">
        <f>"34962042"</f>
        <v>34962042</v>
      </c>
      <c r="D572" s="10">
        <v>2042</v>
      </c>
      <c r="E572" s="12" t="s">
        <v>13</v>
      </c>
    </row>
    <row r="573" spans="1:5" x14ac:dyDescent="0.25">
      <c r="A573" s="4">
        <v>4</v>
      </c>
      <c r="B573" t="str">
        <f>"POLIA SINCRONIZADORA - 112 8 M"</f>
        <v>POLIA SINCRONIZADORA - 112 8 M</v>
      </c>
      <c r="C573" t="str">
        <f>"34962049"</f>
        <v>34962049</v>
      </c>
      <c r="D573" s="9">
        <v>2049</v>
      </c>
      <c r="E573" s="12" t="s">
        <v>13</v>
      </c>
    </row>
    <row r="574" spans="1:5" x14ac:dyDescent="0.25">
      <c r="A574" s="5">
        <v>32</v>
      </c>
      <c r="B574" s="6" t="str">
        <f>"POLIA SINCRONIZADORA  20 5M 15"</f>
        <v>POLIA SINCRONIZADORA  20 5M 15</v>
      </c>
      <c r="C574" s="6" t="str">
        <f>"34965563"</f>
        <v>34965563</v>
      </c>
      <c r="D574" s="10">
        <v>5563</v>
      </c>
      <c r="E574" s="12" t="s">
        <v>13</v>
      </c>
    </row>
    <row r="575" spans="1:5" x14ac:dyDescent="0.25">
      <c r="A575" s="4">
        <v>1</v>
      </c>
      <c r="B575" t="str">
        <f>"POLICARBONATO LEITOSO"</f>
        <v>POLICARBONATO LEITOSO</v>
      </c>
      <c r="C575" t="str">
        <f>"34972186"</f>
        <v>34972186</v>
      </c>
      <c r="D575" s="9">
        <v>2186</v>
      </c>
      <c r="E575" s="12" t="s">
        <v>13</v>
      </c>
    </row>
    <row r="576" spans="1:5" x14ac:dyDescent="0.25">
      <c r="A576" s="5">
        <v>1</v>
      </c>
      <c r="B576" s="6" t="str">
        <f>"POLICARBONATO A=1245 x 3 x 485"</f>
        <v>POLICARBONATO A=1245 x 3 x 485</v>
      </c>
      <c r="C576" s="6" t="str">
        <f>"34972187"</f>
        <v>34972187</v>
      </c>
      <c r="D576" s="10">
        <v>2187</v>
      </c>
      <c r="E576" s="12" t="s">
        <v>13</v>
      </c>
    </row>
    <row r="577" spans="1:5" x14ac:dyDescent="0.25">
      <c r="A577" s="4">
        <v>2</v>
      </c>
      <c r="B577" t="str">
        <f>"PONTO DE SINAL PARA SENSOR - 1657"</f>
        <v>PONTO DE SINAL PARA SENSOR - 1657</v>
      </c>
      <c r="C577" t="str">
        <f>"34991657"</f>
        <v>34991657</v>
      </c>
      <c r="D577" s="9">
        <v>1657</v>
      </c>
      <c r="E577" s="12" t="s">
        <v>13</v>
      </c>
    </row>
    <row r="578" spans="1:5" x14ac:dyDescent="0.25">
      <c r="A578" s="5">
        <v>10</v>
      </c>
      <c r="B578" s="6" t="str">
        <f>"PONTO DE SINAL PARA SENSOR - 5571"</f>
        <v>PONTO DE SINAL PARA SENSOR - 5571</v>
      </c>
      <c r="C578" s="6" t="str">
        <f>"34995571"</f>
        <v>34995571</v>
      </c>
      <c r="D578" s="10">
        <v>5571</v>
      </c>
      <c r="E578" s="12" t="s">
        <v>13</v>
      </c>
    </row>
    <row r="579" spans="1:5" x14ac:dyDescent="0.25">
      <c r="A579" s="4">
        <v>2</v>
      </c>
      <c r="B579" t="str">
        <f>"PONTEIRA - 0961"</f>
        <v>PONTEIRA - 0961</v>
      </c>
      <c r="C579" t="str">
        <f>"35000961"</f>
        <v>35000961</v>
      </c>
      <c r="D579" s="9">
        <v>961</v>
      </c>
      <c r="E579" s="12" t="s">
        <v>13</v>
      </c>
    </row>
    <row r="580" spans="1:5" x14ac:dyDescent="0.25">
      <c r="A580" s="5">
        <v>2</v>
      </c>
      <c r="B580" s="6" t="str">
        <f>"PONTEIRA - 8104"</f>
        <v>PONTEIRA - 8104</v>
      </c>
      <c r="C580" s="6" t="str">
        <f>"35008104"</f>
        <v>35008104</v>
      </c>
      <c r="D580" s="10">
        <v>8104</v>
      </c>
      <c r="E580" s="12" t="s">
        <v>13</v>
      </c>
    </row>
    <row r="581" spans="1:5" x14ac:dyDescent="0.25">
      <c r="A581" s="4">
        <v>12</v>
      </c>
      <c r="B581" t="str">
        <f>"PORCA DA PORTA"</f>
        <v>PORCA DA PORTA</v>
      </c>
      <c r="C581" t="str">
        <f>"35020181"</f>
        <v>35020181</v>
      </c>
      <c r="D581" s="9">
        <v>181</v>
      </c>
      <c r="E581" s="12" t="s">
        <v>13</v>
      </c>
    </row>
    <row r="582" spans="1:5" x14ac:dyDescent="0.25">
      <c r="A582" s="5">
        <v>8</v>
      </c>
      <c r="B582" s="6" t="str">
        <f>"PORCA DA PROTECAO"</f>
        <v>PORCA DA PROTECAO</v>
      </c>
      <c r="C582" s="6" t="str">
        <f>"35022119"</f>
        <v>35022119</v>
      </c>
      <c r="D582" s="10">
        <v>2119</v>
      </c>
      <c r="E582" s="12" t="s">
        <v>13</v>
      </c>
    </row>
    <row r="583" spans="1:5" x14ac:dyDescent="0.25">
      <c r="A583" s="4">
        <v>1</v>
      </c>
      <c r="B583" t="str">
        <f>"PORCA TRAVA ROLAMENTO AXIAL"</f>
        <v>PORCA TRAVA ROLAMENTO AXIAL</v>
      </c>
      <c r="C583" t="str">
        <f>"35022685"</f>
        <v>35022685</v>
      </c>
      <c r="D583" s="9">
        <v>2685</v>
      </c>
      <c r="E583" s="12" t="s">
        <v>13</v>
      </c>
    </row>
    <row r="584" spans="1:5" x14ac:dyDescent="0.25">
      <c r="A584" s="5">
        <v>2</v>
      </c>
      <c r="B584" s="6" t="str">
        <f>"PORCA TRAVA ROLAMENTO ROLOS"</f>
        <v>PORCA TRAVA ROLAMENTO ROLOS</v>
      </c>
      <c r="C584" s="6" t="str">
        <f>"35022686"</f>
        <v>35022686</v>
      </c>
      <c r="D584" s="10">
        <v>2686</v>
      </c>
      <c r="E584" s="12" t="s">
        <v>13</v>
      </c>
    </row>
    <row r="585" spans="1:5" x14ac:dyDescent="0.25">
      <c r="A585" s="4">
        <v>8</v>
      </c>
      <c r="B585" t="str">
        <f>"PORCA DE TRAVA 5975"</f>
        <v>PORCA DE TRAVA 5975</v>
      </c>
      <c r="C585" t="str">
        <f>"35025975"</f>
        <v>35025975</v>
      </c>
      <c r="D585" s="9">
        <v>5975</v>
      </c>
      <c r="E585" s="12" t="s">
        <v>13</v>
      </c>
    </row>
    <row r="586" spans="1:5" x14ac:dyDescent="0.25">
      <c r="A586" s="5">
        <v>16</v>
      </c>
      <c r="B586" s="6" t="str">
        <f>"PORCA - 8064"</f>
        <v>PORCA - 8064</v>
      </c>
      <c r="C586" s="6" t="str">
        <f>"35028064"</f>
        <v>35028064</v>
      </c>
      <c r="D586" s="10">
        <v>8064</v>
      </c>
      <c r="E586" s="12" t="s">
        <v>13</v>
      </c>
    </row>
    <row r="587" spans="1:5" x14ac:dyDescent="0.25">
      <c r="A587" s="4">
        <v>4</v>
      </c>
      <c r="B587" t="str">
        <f>"PORTA - 2115"</f>
        <v>PORTA - 2115</v>
      </c>
      <c r="C587" t="str">
        <f>"35042115"</f>
        <v>35042115</v>
      </c>
      <c r="D587" s="9">
        <v>2115</v>
      </c>
      <c r="E587" s="12" t="s">
        <v>13</v>
      </c>
    </row>
    <row r="588" spans="1:5" x14ac:dyDescent="0.25">
      <c r="A588" s="5">
        <v>4</v>
      </c>
      <c r="B588" s="6" t="str">
        <f>"PORTA - 2116"</f>
        <v>PORTA - 2116</v>
      </c>
      <c r="C588" s="6" t="str">
        <f>"35042116"</f>
        <v>35042116</v>
      </c>
      <c r="D588" s="10">
        <v>2116</v>
      </c>
      <c r="E588" s="12" t="s">
        <v>13</v>
      </c>
    </row>
    <row r="589" spans="1:5" x14ac:dyDescent="0.25">
      <c r="A589" s="4">
        <v>12</v>
      </c>
      <c r="B589" t="str">
        <f>"PORTA - 2117"</f>
        <v>PORTA - 2117</v>
      </c>
      <c r="C589" t="str">
        <f>"35042117"</f>
        <v>35042117</v>
      </c>
      <c r="D589" s="9">
        <v>2117</v>
      </c>
      <c r="E589" s="12" t="s">
        <v>13</v>
      </c>
    </row>
    <row r="590" spans="1:5" x14ac:dyDescent="0.25">
      <c r="A590" s="5">
        <v>1</v>
      </c>
      <c r="B590" s="6" t="str">
        <f>"PORTA DO ARMARIO"</f>
        <v>PORTA DO ARMARIO</v>
      </c>
      <c r="C590" s="6" t="str">
        <f>"35042213"</f>
        <v>35042213</v>
      </c>
      <c r="D590" s="10">
        <v>2213</v>
      </c>
      <c r="E590" s="12" t="s">
        <v>13</v>
      </c>
    </row>
    <row r="591" spans="1:5" x14ac:dyDescent="0.25">
      <c r="A591" s="4">
        <v>4</v>
      </c>
      <c r="B591" t="str">
        <f>"PORTA"</f>
        <v>PORTA</v>
      </c>
      <c r="C591" t="str">
        <f>"35048227"</f>
        <v>35048227</v>
      </c>
      <c r="D591" s="9">
        <v>8227</v>
      </c>
      <c r="E591" s="12" t="s">
        <v>13</v>
      </c>
    </row>
    <row r="592" spans="1:5" x14ac:dyDescent="0.25">
      <c r="A592" s="5">
        <v>1</v>
      </c>
      <c r="B592" s="6" t="str">
        <f>"PORTA DA PLATAFORMA - 8291"</f>
        <v>PORTA DA PLATAFORMA - 8291</v>
      </c>
      <c r="C592" s="6" t="str">
        <f>"35048291"</f>
        <v>35048291</v>
      </c>
      <c r="D592" s="10">
        <v>8291</v>
      </c>
      <c r="E592" s="12" t="s">
        <v>13</v>
      </c>
    </row>
    <row r="593" spans="1:5" x14ac:dyDescent="0.25">
      <c r="A593" s="4">
        <v>2</v>
      </c>
      <c r="B593" t="str">
        <f>"PORTA DO PAINEL DE COMANDO - 8354"</f>
        <v>PORTA DO PAINEL DE COMANDO - 8354</v>
      </c>
      <c r="C593" t="str">
        <f>"35048354"</f>
        <v>35048354</v>
      </c>
      <c r="D593" s="9">
        <v>8354</v>
      </c>
      <c r="E593" s="12" t="s">
        <v>13</v>
      </c>
    </row>
    <row r="594" spans="1:5" x14ac:dyDescent="0.25">
      <c r="A594" s="5">
        <v>24</v>
      </c>
      <c r="B594" s="6" t="str">
        <f>"PRISIONEIRO - 8086"</f>
        <v>PRISIONEIRO - 8086</v>
      </c>
      <c r="C594" s="6" t="str">
        <f>"35108086"</f>
        <v>35108086</v>
      </c>
      <c r="D594" s="10">
        <v>8086</v>
      </c>
      <c r="E594" s="12" t="s">
        <v>13</v>
      </c>
    </row>
    <row r="595" spans="1:5" x14ac:dyDescent="0.25">
      <c r="A595" s="4">
        <v>4</v>
      </c>
      <c r="B595" t="str">
        <f>"PRISIONEIRO - 8115"</f>
        <v>PRISIONEIRO - 8115</v>
      </c>
      <c r="C595" t="str">
        <f>"35108115"</f>
        <v>35108115</v>
      </c>
      <c r="D595" s="9">
        <v>8115</v>
      </c>
      <c r="E595" s="12" t="s">
        <v>13</v>
      </c>
    </row>
    <row r="596" spans="1:5" x14ac:dyDescent="0.25">
      <c r="A596" s="5">
        <v>2</v>
      </c>
      <c r="B596" s="6" t="str">
        <f>"PROTEÇÃO DO CILINDRO ANILOX"</f>
        <v>PROTEÇÃO DO CILINDRO ANILOX</v>
      </c>
      <c r="C596" s="6" t="str">
        <f>"35120172"</f>
        <v>35120172</v>
      </c>
      <c r="D596" s="10">
        <v>172</v>
      </c>
      <c r="E596" s="12" t="s">
        <v>13</v>
      </c>
    </row>
    <row r="597" spans="1:5" x14ac:dyDescent="0.25">
      <c r="A597" s="4">
        <v>8</v>
      </c>
      <c r="B597" t="str">
        <f>"PROTEÇÃO - 0239"</f>
        <v>PROTEÇÃO - 0239</v>
      </c>
      <c r="C597" t="str">
        <f>"35120239"</f>
        <v>35120239</v>
      </c>
      <c r="D597" s="9">
        <v>239</v>
      </c>
      <c r="E597" s="12" t="s">
        <v>13</v>
      </c>
    </row>
    <row r="598" spans="1:5" x14ac:dyDescent="0.25">
      <c r="A598" s="5">
        <v>8</v>
      </c>
      <c r="B598" s="6" t="str">
        <f>"PROTEÇÃO - 0240"</f>
        <v>PROTEÇÃO - 0240</v>
      </c>
      <c r="C598" s="6" t="str">
        <f>"35120240"</f>
        <v>35120240</v>
      </c>
      <c r="D598" s="10">
        <v>240</v>
      </c>
      <c r="E598" s="12" t="s">
        <v>13</v>
      </c>
    </row>
    <row r="599" spans="1:5" x14ac:dyDescent="0.25">
      <c r="A599" s="4">
        <v>1</v>
      </c>
      <c r="B599" t="str">
        <f>"PROTEÇÃO DA FACA MAQ. 1200 mm"</f>
        <v>PROTEÇÃO DA FACA MAQ. 1200 mm</v>
      </c>
      <c r="C599" t="str">
        <f>"35121990BG0"</f>
        <v>35121990BG0</v>
      </c>
      <c r="D599" s="9">
        <v>1990</v>
      </c>
      <c r="E599" s="12" t="s">
        <v>13</v>
      </c>
    </row>
    <row r="600" spans="1:5" x14ac:dyDescent="0.25">
      <c r="A600" s="5">
        <v>2</v>
      </c>
      <c r="B600" s="6" t="str">
        <f>"PROTEÇÃO DIREITA"</f>
        <v>PROTEÇÃO DIREITA</v>
      </c>
      <c r="C600" s="6" t="str">
        <f>"35122103"</f>
        <v>35122103</v>
      </c>
      <c r="D600" s="10">
        <v>2103</v>
      </c>
      <c r="E600" s="12" t="s">
        <v>13</v>
      </c>
    </row>
    <row r="601" spans="1:5" x14ac:dyDescent="0.25">
      <c r="A601" s="4">
        <v>2</v>
      </c>
      <c r="B601" t="str">
        <f>"PROTEÇÃO ESQUERDA"</f>
        <v>PROTEÇÃO ESQUERDA</v>
      </c>
      <c r="C601" t="str">
        <f>"35122104"</f>
        <v>35122104</v>
      </c>
      <c r="D601" s="9">
        <v>2104</v>
      </c>
      <c r="E601" s="12" t="s">
        <v>13</v>
      </c>
    </row>
    <row r="602" spans="1:5" x14ac:dyDescent="0.25">
      <c r="A602" s="5">
        <v>1</v>
      </c>
      <c r="B602" s="6" t="str">
        <f>"PROTEÇÃO DIREITA DO DESBOBINADOR"</f>
        <v>PROTEÇÃO DIREITA DO DESBOBINADOR</v>
      </c>
      <c r="C602" s="6" t="str">
        <f>"35122105"</f>
        <v>35122105</v>
      </c>
      <c r="D602" s="10">
        <v>2105</v>
      </c>
      <c r="E602" s="12" t="s">
        <v>13</v>
      </c>
    </row>
    <row r="603" spans="1:5" x14ac:dyDescent="0.25">
      <c r="A603" s="4">
        <v>1</v>
      </c>
      <c r="B603" t="str">
        <f>"PROTEÇÃO ESQ. DO DESBOBINADOR"</f>
        <v>PROTEÇÃO ESQ. DO DESBOBINADOR</v>
      </c>
      <c r="C603" t="str">
        <f>"35122106"</f>
        <v>35122106</v>
      </c>
      <c r="D603" s="9">
        <v>2106</v>
      </c>
      <c r="E603" s="12" t="s">
        <v>13</v>
      </c>
    </row>
    <row r="604" spans="1:5" x14ac:dyDescent="0.25">
      <c r="A604" s="5">
        <v>1</v>
      </c>
      <c r="B604" s="6" t="str">
        <f>"PROTEÇÃO ESQ. DO REBOBINADOR"</f>
        <v>PROTEÇÃO ESQ. DO REBOBINADOR</v>
      </c>
      <c r="C604" s="6" t="str">
        <f>"35122107"</f>
        <v>35122107</v>
      </c>
      <c r="D604" s="10">
        <v>2107</v>
      </c>
      <c r="E604" s="12" t="s">
        <v>13</v>
      </c>
    </row>
    <row r="605" spans="1:5" x14ac:dyDescent="0.25">
      <c r="A605" s="4">
        <v>1</v>
      </c>
      <c r="B605" t="str">
        <f>"PROTEÇÃO DIREITA DO REBOBINADOR"</f>
        <v>PROTEÇÃO DIREITA DO REBOBINADOR</v>
      </c>
      <c r="C605" t="str">
        <f>"35122108"</f>
        <v>35122108</v>
      </c>
      <c r="D605" s="9">
        <v>2108</v>
      </c>
      <c r="E605" s="12" t="s">
        <v>13</v>
      </c>
    </row>
    <row r="606" spans="1:5" x14ac:dyDescent="0.25">
      <c r="A606" s="5">
        <v>8</v>
      </c>
      <c r="B606" s="6" t="str">
        <f>"PROTECAO DO SENSOR 2645"</f>
        <v>PROTECAO DO SENSOR 2645</v>
      </c>
      <c r="C606" s="6" t="str">
        <f>"35122645"</f>
        <v>35122645</v>
      </c>
      <c r="D606" s="10">
        <v>2645</v>
      </c>
      <c r="E606" s="12" t="s">
        <v>13</v>
      </c>
    </row>
    <row r="607" spans="1:5" x14ac:dyDescent="0.25">
      <c r="A607" s="4">
        <v>1</v>
      </c>
      <c r="B607" t="str">
        <f>"PROTEÇÃO - 2808"</f>
        <v>PROTEÇÃO - 2808</v>
      </c>
      <c r="C607" t="str">
        <f>"35122808"</f>
        <v>35122808</v>
      </c>
      <c r="D607" s="9">
        <v>2808</v>
      </c>
      <c r="E607" s="12" t="s">
        <v>13</v>
      </c>
    </row>
    <row r="608" spans="1:5" x14ac:dyDescent="0.25">
      <c r="A608" s="5">
        <v>1</v>
      </c>
      <c r="B608" s="6" t="str">
        <f>"PROTEÇÃO DO ROLETE MAQ. 1000 mm"</f>
        <v>PROTEÇÃO DO ROLETE MAQ. 1000 mm</v>
      </c>
      <c r="C608" s="6" t="str">
        <f>"35125006BE0"</f>
        <v>35125006BE0</v>
      </c>
      <c r="D608" s="10">
        <v>5006</v>
      </c>
      <c r="E608" s="12" t="s">
        <v>13</v>
      </c>
    </row>
    <row r="609" spans="1:5" x14ac:dyDescent="0.25">
      <c r="A609" s="4">
        <v>1</v>
      </c>
      <c r="B609" t="str">
        <f>"PROTEÇÃO DA POLIA 6039"</f>
        <v>PROTEÇÃO DA POLIA 6039</v>
      </c>
      <c r="C609" t="str">
        <f>"35126039"</f>
        <v>35126039</v>
      </c>
      <c r="D609" s="9">
        <v>6039</v>
      </c>
      <c r="E609" s="12" t="s">
        <v>13</v>
      </c>
    </row>
    <row r="610" spans="1:5" x14ac:dyDescent="0.25">
      <c r="A610" s="5">
        <v>1</v>
      </c>
      <c r="B610" s="6" t="str">
        <f>"PROTEÇÃO DA CALANDRA - 8023"</f>
        <v>PROTEÇÃO DA CALANDRA - 8023</v>
      </c>
      <c r="C610" s="6" t="str">
        <f>"35128023"</f>
        <v>35128023</v>
      </c>
      <c r="D610" s="10">
        <v>8023</v>
      </c>
      <c r="E610" s="12" t="s">
        <v>13</v>
      </c>
    </row>
    <row r="611" spans="1:5" x14ac:dyDescent="0.25">
      <c r="A611" s="4">
        <v>1</v>
      </c>
      <c r="B611" t="str">
        <f>"PROTEÇÃO LATERAL - 8023AX2"</f>
        <v>PROTEÇÃO LATERAL - 8023AX2</v>
      </c>
      <c r="C611" t="str">
        <f>"35128023AX2"</f>
        <v>35128023AX2</v>
      </c>
      <c r="D611" s="9">
        <v>8023</v>
      </c>
      <c r="E611" s="12" t="s">
        <v>13</v>
      </c>
    </row>
    <row r="612" spans="1:5" x14ac:dyDescent="0.25">
      <c r="A612" s="5">
        <v>1</v>
      </c>
      <c r="B612" s="6" t="str">
        <f>"PROTEÇÃO LATERAL - 8023AX3"</f>
        <v>PROTEÇÃO LATERAL - 8023AX3</v>
      </c>
      <c r="C612" s="6" t="str">
        <f>"35128023AX3"</f>
        <v>35128023AX3</v>
      </c>
      <c r="D612" s="10">
        <v>8023</v>
      </c>
      <c r="E612" s="12" t="s">
        <v>13</v>
      </c>
    </row>
    <row r="613" spans="1:5" x14ac:dyDescent="0.25">
      <c r="A613" s="4">
        <v>2</v>
      </c>
      <c r="B613" t="str">
        <f>"PROTEÇÃO - 8292"</f>
        <v>PROTEÇÃO - 8292</v>
      </c>
      <c r="C613" t="str">
        <f>"35128292"</f>
        <v>35128292</v>
      </c>
      <c r="D613" s="9">
        <v>8292</v>
      </c>
      <c r="E613" s="12" t="s">
        <v>13</v>
      </c>
    </row>
    <row r="614" spans="1:5" x14ac:dyDescent="0.25">
      <c r="A614" s="5">
        <v>7</v>
      </c>
      <c r="B614" s="6" t="str">
        <f>"PROTEÇÃO - 8293"</f>
        <v>PROTEÇÃO - 8293</v>
      </c>
      <c r="C614" s="6" t="str">
        <f>"35128293"</f>
        <v>35128293</v>
      </c>
      <c r="D614" s="10">
        <v>8293</v>
      </c>
      <c r="E614" s="12" t="s">
        <v>13</v>
      </c>
    </row>
    <row r="615" spans="1:5" x14ac:dyDescent="0.25">
      <c r="A615" s="4">
        <v>1</v>
      </c>
      <c r="B615" t="str">
        <f>"PROTEÇÃO - 8294"</f>
        <v>PROTEÇÃO - 8294</v>
      </c>
      <c r="C615" t="str">
        <f>"35128294"</f>
        <v>35128294</v>
      </c>
      <c r="D615" s="9">
        <v>8294</v>
      </c>
      <c r="E615" s="12" t="s">
        <v>13</v>
      </c>
    </row>
    <row r="616" spans="1:5" x14ac:dyDescent="0.25">
      <c r="A616" s="5">
        <v>1</v>
      </c>
      <c r="B616" s="6" t="str">
        <f>"PROTEÇÃO - 8295"</f>
        <v>PROTEÇÃO - 8295</v>
      </c>
      <c r="C616" s="6" t="str">
        <f>"35128295"</f>
        <v>35128295</v>
      </c>
      <c r="D616" s="10">
        <v>8295</v>
      </c>
      <c r="E616" s="12" t="s">
        <v>13</v>
      </c>
    </row>
    <row r="617" spans="1:5" x14ac:dyDescent="0.25">
      <c r="A617" s="4">
        <v>1</v>
      </c>
      <c r="B617" t="str">
        <f>"PROTEÇÃO - 8296"</f>
        <v>PROTEÇÃO - 8296</v>
      </c>
      <c r="C617" t="str">
        <f>"35128296"</f>
        <v>35128296</v>
      </c>
      <c r="D617" s="9">
        <v>8296</v>
      </c>
      <c r="E617" s="12" t="s">
        <v>13</v>
      </c>
    </row>
    <row r="618" spans="1:5" x14ac:dyDescent="0.25">
      <c r="A618" s="5">
        <v>1</v>
      </c>
      <c r="B618" s="6" t="str">
        <f>"PROTEÇÃO - 8297"</f>
        <v>PROTEÇÃO - 8297</v>
      </c>
      <c r="C618" s="6" t="str">
        <f>"35128297"</f>
        <v>35128297</v>
      </c>
      <c r="D618" s="10">
        <v>8297</v>
      </c>
      <c r="E618" s="12" t="s">
        <v>13</v>
      </c>
    </row>
    <row r="619" spans="1:5" x14ac:dyDescent="0.25">
      <c r="A619" s="4">
        <v>1</v>
      </c>
      <c r="B619" t="str">
        <f>"PROTEÇÃO MAQ. 1000 - 8298"</f>
        <v>PROTEÇÃO MAQ. 1000 - 8298</v>
      </c>
      <c r="C619" t="str">
        <f>"35128298ZE0"</f>
        <v>35128298ZE0</v>
      </c>
      <c r="D619" s="9">
        <v>8298</v>
      </c>
      <c r="E619" s="12" t="s">
        <v>13</v>
      </c>
    </row>
    <row r="620" spans="1:5" x14ac:dyDescent="0.25">
      <c r="A620" s="5">
        <v>1</v>
      </c>
      <c r="B620" s="6" t="str">
        <f>"PROTEÇÃO - 8299"</f>
        <v>PROTEÇÃO - 8299</v>
      </c>
      <c r="C620" s="6" t="str">
        <f>"35128299"</f>
        <v>35128299</v>
      </c>
      <c r="D620" s="10">
        <v>8299</v>
      </c>
      <c r="E620" s="12" t="s">
        <v>13</v>
      </c>
    </row>
    <row r="621" spans="1:5" x14ac:dyDescent="0.25">
      <c r="A621" s="4">
        <v>1</v>
      </c>
      <c r="B621" t="str">
        <f>"PROTEÇÃO - 8300"</f>
        <v>PROTEÇÃO - 8300</v>
      </c>
      <c r="C621" t="str">
        <f>"35128300"</f>
        <v>35128300</v>
      </c>
      <c r="D621" s="9">
        <v>8300</v>
      </c>
      <c r="E621" s="12" t="s">
        <v>13</v>
      </c>
    </row>
    <row r="622" spans="1:5" x14ac:dyDescent="0.25">
      <c r="A622" s="5">
        <v>1</v>
      </c>
      <c r="B622" s="6" t="str">
        <f>"PROTEÇÃO - 8301"</f>
        <v>PROTEÇÃO - 8301</v>
      </c>
      <c r="C622" s="6" t="str">
        <f>"35128301"</f>
        <v>35128301</v>
      </c>
      <c r="D622" s="10">
        <v>8301</v>
      </c>
      <c r="E622" s="12" t="s">
        <v>13</v>
      </c>
    </row>
    <row r="623" spans="1:5" x14ac:dyDescent="0.25">
      <c r="A623" s="4">
        <v>16</v>
      </c>
      <c r="B623" t="str">
        <f>"PROTETOR - 1270"</f>
        <v>PROTETOR - 1270</v>
      </c>
      <c r="C623" t="str">
        <f>"35141270"</f>
        <v>35141270</v>
      </c>
      <c r="D623" s="9">
        <v>1270</v>
      </c>
      <c r="E623" s="12" t="s">
        <v>13</v>
      </c>
    </row>
    <row r="624" spans="1:5" x14ac:dyDescent="0.25">
      <c r="A624" s="5">
        <v>1</v>
      </c>
      <c r="B624" s="6" t="str">
        <f>"QUADRO DE TUBO"</f>
        <v>QUADRO DE TUBO</v>
      </c>
      <c r="C624" s="6" t="str">
        <f>"35202189"</f>
        <v>35202189</v>
      </c>
      <c r="D624" s="10">
        <v>2189</v>
      </c>
      <c r="E624" s="12" t="s">
        <v>13</v>
      </c>
    </row>
    <row r="625" spans="1:5" x14ac:dyDescent="0.25">
      <c r="A625" s="4">
        <v>2</v>
      </c>
      <c r="B625" t="str">
        <f>"QUADRO MOVEL MAQ 1000"</f>
        <v>QUADRO MOVEL MAQ 1000</v>
      </c>
      <c r="C625" t="str">
        <f>"35206324BE0"</f>
        <v>35206324BE0</v>
      </c>
      <c r="D625" s="9">
        <v>6324</v>
      </c>
      <c r="E625" s="12" t="s">
        <v>13</v>
      </c>
    </row>
    <row r="626" spans="1:5" x14ac:dyDescent="0.25">
      <c r="A626" s="5">
        <v>2</v>
      </c>
      <c r="B626" s="6" t="str">
        <f>"QUADRO FIXO MAQ 1000"</f>
        <v>QUADRO FIXO MAQ 1000</v>
      </c>
      <c r="C626" s="6" t="str">
        <f>"35206325BE0"</f>
        <v>35206325BE0</v>
      </c>
      <c r="D626" s="10">
        <v>6325</v>
      </c>
      <c r="E626" s="12" t="s">
        <v>13</v>
      </c>
    </row>
    <row r="627" spans="1:5" x14ac:dyDescent="0.25">
      <c r="A627" s="4">
        <v>16</v>
      </c>
      <c r="B627" t="str">
        <f>"REFORÇO"</f>
        <v>REFORÇO</v>
      </c>
      <c r="C627" t="str">
        <f>"35403294"</f>
        <v>35403294</v>
      </c>
      <c r="D627" s="9">
        <v>3294</v>
      </c>
      <c r="E627" s="12" t="s">
        <v>13</v>
      </c>
    </row>
    <row r="628" spans="1:5" x14ac:dyDescent="0.25">
      <c r="A628" s="5">
        <v>8</v>
      </c>
      <c r="B628" s="6" t="str">
        <f>"RODIZIO DE APOIO - 1906"</f>
        <v>RODIZIO DE APOIO - 1906</v>
      </c>
      <c r="C628" s="6" t="str">
        <f>"35521906"</f>
        <v>35521906</v>
      </c>
      <c r="D628" s="10">
        <v>1906</v>
      </c>
      <c r="E628" s="12" t="s">
        <v>13</v>
      </c>
    </row>
    <row r="629" spans="1:5" x14ac:dyDescent="0.25">
      <c r="A629" s="4">
        <v>8</v>
      </c>
      <c r="B629" t="str">
        <f>"RODIZIO GUIA - 1908"</f>
        <v>RODIZIO GUIA - 1908</v>
      </c>
      <c r="C629" t="str">
        <f>"35521908"</f>
        <v>35521908</v>
      </c>
      <c r="D629" s="9">
        <v>1908</v>
      </c>
      <c r="E629" s="12" t="s">
        <v>13</v>
      </c>
    </row>
    <row r="630" spans="1:5" x14ac:dyDescent="0.25">
      <c r="A630" s="5">
        <v>1</v>
      </c>
      <c r="B630" s="6" t="str">
        <f>"ROLETE 2""  MÁQ. 1000"</f>
        <v>ROLETE 2"  MÁQ. 1000</v>
      </c>
      <c r="C630" s="6" t="str">
        <f>"35560121BE0"</f>
        <v>35560121BE0</v>
      </c>
      <c r="D630" s="10">
        <v>121</v>
      </c>
      <c r="E630" s="12" t="s">
        <v>13</v>
      </c>
    </row>
    <row r="631" spans="1:5" x14ac:dyDescent="0.25">
      <c r="A631" s="4">
        <v>3</v>
      </c>
      <c r="B631" t="str">
        <f>"ROLETE EMBORRACHADO MÁQ. 1000"</f>
        <v>ROLETE EMBORRACHADO MÁQ. 1000</v>
      </c>
      <c r="C631" t="str">
        <f>"35561304BE0"</f>
        <v>35561304BE0</v>
      </c>
      <c r="D631" s="9">
        <v>1304</v>
      </c>
      <c r="E631" s="12" t="s">
        <v>13</v>
      </c>
    </row>
    <row r="632" spans="1:5" x14ac:dyDescent="0.25">
      <c r="A632" s="5">
        <v>3</v>
      </c>
      <c r="B632" s="6" t="str">
        <f>"ROLETE EMBORRACHADO MÁQ 1000"</f>
        <v>ROLETE EMBORRACHADO MÁQ 1000</v>
      </c>
      <c r="C632" s="6" t="str">
        <f>"35561304BE0F15"</f>
        <v>35561304BE0F15</v>
      </c>
      <c r="D632" s="10">
        <v>1304</v>
      </c>
      <c r="E632" s="12" t="s">
        <v>13</v>
      </c>
    </row>
    <row r="633" spans="1:5" x14ac:dyDescent="0.25">
      <c r="A633" s="4">
        <v>3</v>
      </c>
      <c r="B633" t="str">
        <f>"ROLETE EMBORRACHADO MÁQ 1000"</f>
        <v>ROLETE EMBORRACHADO MÁQ 1000</v>
      </c>
      <c r="C633" t="str">
        <f>"35561304BE0F9"</f>
        <v>35561304BE0F9</v>
      </c>
      <c r="D633" s="9">
        <v>1304</v>
      </c>
      <c r="E633" s="12" t="s">
        <v>13</v>
      </c>
    </row>
    <row r="634" spans="1:5" x14ac:dyDescent="0.25">
      <c r="A634" s="5">
        <v>1</v>
      </c>
      <c r="B634" s="6" t="str">
        <f>"ROLETE EMBORRACHADO  MAQ. 1000"</f>
        <v>ROLETE EMBORRACHADO  MAQ. 1000</v>
      </c>
      <c r="C634" s="6" t="str">
        <f>"35561384BE0"</f>
        <v>35561384BE0</v>
      </c>
      <c r="D634" s="10">
        <v>1384</v>
      </c>
      <c r="E634" s="12" t="s">
        <v>13</v>
      </c>
    </row>
    <row r="635" spans="1:5" x14ac:dyDescent="0.25">
      <c r="A635" s="4">
        <v>1</v>
      </c>
      <c r="B635" t="str">
        <f>"ROLETE EMBORRACHADO  MAQ. 1000"</f>
        <v>ROLETE EMBORRACHADO  MAQ. 1000</v>
      </c>
      <c r="C635" t="str">
        <f>"35561384BE0F9"</f>
        <v>35561384BE0F9</v>
      </c>
      <c r="D635" s="9">
        <v>1384</v>
      </c>
      <c r="E635" s="12" t="s">
        <v>13</v>
      </c>
    </row>
    <row r="636" spans="1:5" x14ac:dyDescent="0.25">
      <c r="A636" s="5">
        <v>25</v>
      </c>
      <c r="B636" s="6" t="str">
        <f>"ROLETE ABRIDOR A = 1100 MM"</f>
        <v>ROLETE ABRIDOR A = 1100 MM</v>
      </c>
      <c r="C636" s="6" t="str">
        <f>"35562063BE0"</f>
        <v>35562063BE0</v>
      </c>
      <c r="D636" s="10">
        <v>2063</v>
      </c>
      <c r="E636" s="12" t="s">
        <v>13</v>
      </c>
    </row>
    <row r="637" spans="1:5" x14ac:dyDescent="0.25">
      <c r="A637" s="4">
        <v>17</v>
      </c>
      <c r="B637" t="str">
        <f>"ROLETE LISO A = 1100 MM"</f>
        <v>ROLETE LISO A = 1100 MM</v>
      </c>
      <c r="C637" t="str">
        <f>"35562070BE0"</f>
        <v>35562070BE0</v>
      </c>
      <c r="D637" s="9">
        <v>2070</v>
      </c>
      <c r="E637" s="12" t="s">
        <v>13</v>
      </c>
    </row>
    <row r="638" spans="1:5" x14ac:dyDescent="0.25">
      <c r="A638" s="5">
        <v>1</v>
      </c>
      <c r="B638" s="6" t="str">
        <f>"ROLO DE BORRACHA ABRIDOR A = 1100 MM"</f>
        <v>ROLO DE BORRACHA ABRIDOR A = 1100 MM</v>
      </c>
      <c r="C638" s="6" t="str">
        <f>"35562071BE0"</f>
        <v>35562071BE0</v>
      </c>
      <c r="D638" s="10">
        <v>2071</v>
      </c>
      <c r="E638" s="12" t="s">
        <v>13</v>
      </c>
    </row>
    <row r="639" spans="1:5" x14ac:dyDescent="0.25">
      <c r="A639" s="4">
        <v>1</v>
      </c>
      <c r="B639" t="str">
        <f>"ROLO DE BORRACHA ABRIDOR A = 1100 MM"</f>
        <v>ROLO DE BORRACHA ABRIDOR A = 1100 MM</v>
      </c>
      <c r="C639" t="str">
        <f>"35562071BE0F15"</f>
        <v>35562071BE0F15</v>
      </c>
      <c r="D639" s="9">
        <v>2071</v>
      </c>
      <c r="E639" s="12" t="s">
        <v>13</v>
      </c>
    </row>
    <row r="640" spans="1:5" x14ac:dyDescent="0.25">
      <c r="A640" s="5">
        <v>1</v>
      </c>
      <c r="B640" s="6" t="str">
        <f>"ROLO DE BORRACHA ABRIDOR A = 1300 MM - 2071"</f>
        <v>ROLO DE BORRACHA ABRIDOR A = 1300 MM - 2071</v>
      </c>
      <c r="C640" s="6" t="str">
        <f>"35562071BG0"</f>
        <v>35562071BG0</v>
      </c>
      <c r="D640" s="10">
        <v>2071</v>
      </c>
      <c r="E640" s="12" t="s">
        <v>13</v>
      </c>
    </row>
    <row r="641" spans="1:5" x14ac:dyDescent="0.25">
      <c r="A641" s="4">
        <v>1</v>
      </c>
      <c r="B641" t="str">
        <f>"ROLO DE BORRACHA ABRIDOR A = 1300 MM - 2071F15"</f>
        <v>ROLO DE BORRACHA ABRIDOR A = 1300 MM - 2071F15</v>
      </c>
      <c r="C641" t="str">
        <f>"35562071BG0F15"</f>
        <v>35562071BG0F15</v>
      </c>
      <c r="D641" s="9">
        <v>2071</v>
      </c>
      <c r="E641" s="12" t="s">
        <v>13</v>
      </c>
    </row>
    <row r="642" spans="1:5" x14ac:dyDescent="0.25">
      <c r="A642" s="5">
        <v>1</v>
      </c>
      <c r="B642" s="6" t="str">
        <f>"ROLETE DA CELULA DE CARGA MAQ. 1000 - 8103"</f>
        <v>ROLETE DA CELULA DE CARGA MAQ. 1000 - 8103</v>
      </c>
      <c r="C642" s="6" t="str">
        <f>"35568103ZE0"</f>
        <v>35568103ZE0</v>
      </c>
      <c r="D642" s="10">
        <v>8103</v>
      </c>
      <c r="E642" s="12" t="s">
        <v>13</v>
      </c>
    </row>
    <row r="643" spans="1:5" x14ac:dyDescent="0.25">
      <c r="A643" s="4">
        <v>1</v>
      </c>
      <c r="B643" t="str">
        <f>"ROTOR ESQUERDO - 3971"</f>
        <v>ROTOR ESQUERDO - 3971</v>
      </c>
      <c r="C643" t="str">
        <f>"35593971"</f>
        <v>35593971</v>
      </c>
      <c r="D643" s="9">
        <v>3971</v>
      </c>
      <c r="E643" s="12" t="s">
        <v>13</v>
      </c>
    </row>
    <row r="644" spans="1:5" x14ac:dyDescent="0.25">
      <c r="A644" s="5">
        <v>3</v>
      </c>
      <c r="B644" s="6" t="str">
        <f>"ROTOR ESQUERDO - 3994"</f>
        <v>ROTOR ESQUERDO - 3994</v>
      </c>
      <c r="C644" s="6" t="str">
        <f>"35593994"</f>
        <v>35593994</v>
      </c>
      <c r="D644" s="10">
        <v>3994</v>
      </c>
      <c r="E644" s="12" t="s">
        <v>13</v>
      </c>
    </row>
    <row r="645" spans="1:5" x14ac:dyDescent="0.25">
      <c r="A645" s="4">
        <v>8</v>
      </c>
      <c r="B645" t="str">
        <f>"SUPORTE DO PINO"</f>
        <v>SUPORTE DO PINO</v>
      </c>
      <c r="C645" t="str">
        <f>"35860238"</f>
        <v>35860238</v>
      </c>
      <c r="D645" s="9">
        <v>238</v>
      </c>
      <c r="E645" s="12" t="s">
        <v>13</v>
      </c>
    </row>
    <row r="646" spans="1:5" x14ac:dyDescent="0.25">
      <c r="A646" s="5">
        <v>2</v>
      </c>
      <c r="B646" s="6" t="str">
        <f>"SUPORTE DO COMANDO"</f>
        <v>SUPORTE DO COMANDO</v>
      </c>
      <c r="C646" s="6" t="str">
        <f>"35860834"</f>
        <v>35860834</v>
      </c>
      <c r="D646" s="10">
        <v>834</v>
      </c>
      <c r="E646" s="12" t="s">
        <v>13</v>
      </c>
    </row>
    <row r="647" spans="1:5" x14ac:dyDescent="0.25">
      <c r="A647" s="4">
        <v>2</v>
      </c>
      <c r="B647" t="str">
        <f>"SUPORTE - 1453"</f>
        <v>SUPORTE - 1453</v>
      </c>
      <c r="C647" t="str">
        <f>"35861453"</f>
        <v>35861453</v>
      </c>
      <c r="D647" s="9">
        <v>1453</v>
      </c>
      <c r="E647" s="12" t="s">
        <v>13</v>
      </c>
    </row>
    <row r="648" spans="1:5" x14ac:dyDescent="0.25">
      <c r="A648" s="5">
        <v>1</v>
      </c>
      <c r="B648" s="6" t="str">
        <f>"SUPORTE DO SENSOR - 1673"</f>
        <v>SUPORTE DO SENSOR - 1673</v>
      </c>
      <c r="C648" s="6" t="str">
        <f>"35861673"</f>
        <v>35861673</v>
      </c>
      <c r="D648" s="10">
        <v>1673</v>
      </c>
      <c r="E648" s="12" t="s">
        <v>13</v>
      </c>
    </row>
    <row r="649" spans="1:5" x14ac:dyDescent="0.25">
      <c r="A649" s="4">
        <v>1</v>
      </c>
      <c r="B649" t="str">
        <f>"SUPORTE DA CHAVE PRINCIPAL"</f>
        <v>SUPORTE DA CHAVE PRINCIPAL</v>
      </c>
      <c r="C649" t="str">
        <f>"35861841"</f>
        <v>35861841</v>
      </c>
      <c r="D649" s="9">
        <v>1841</v>
      </c>
      <c r="E649" s="12" t="s">
        <v>13</v>
      </c>
    </row>
    <row r="650" spans="1:5" x14ac:dyDescent="0.25">
      <c r="A650" s="5">
        <v>8</v>
      </c>
      <c r="B650" s="6" t="str">
        <f>"SUPORTE DO CHUMBADOR - 1848"</f>
        <v>SUPORTE DO CHUMBADOR - 1848</v>
      </c>
      <c r="C650" s="6" t="str">
        <f>"35861848"</f>
        <v>35861848</v>
      </c>
      <c r="D650" s="10">
        <v>1848</v>
      </c>
      <c r="E650" s="12" t="s">
        <v>13</v>
      </c>
    </row>
    <row r="651" spans="1:5" x14ac:dyDescent="0.25">
      <c r="A651" s="4">
        <v>1</v>
      </c>
      <c r="B651" t="str">
        <f>"SUPORTE DO TRANSFORMADOR"</f>
        <v>SUPORTE DO TRANSFORMADOR</v>
      </c>
      <c r="C651" t="str">
        <f>"35861881"</f>
        <v>35861881</v>
      </c>
      <c r="D651" s="9">
        <v>1881</v>
      </c>
      <c r="E651" s="12" t="s">
        <v>13</v>
      </c>
    </row>
    <row r="652" spans="1:5" x14ac:dyDescent="0.25">
      <c r="A652" s="5">
        <v>1</v>
      </c>
      <c r="B652" s="6" t="str">
        <f>"SUPORTE - 1890"</f>
        <v>SUPORTE - 1890</v>
      </c>
      <c r="C652" s="6" t="str">
        <f>"35861890"</f>
        <v>35861890</v>
      </c>
      <c r="D652" s="10">
        <v>1890</v>
      </c>
      <c r="E652" s="12" t="s">
        <v>13</v>
      </c>
    </row>
    <row r="653" spans="1:5" x14ac:dyDescent="0.25">
      <c r="A653" s="4">
        <v>1</v>
      </c>
      <c r="B653" t="str">
        <f>"SUPORTE ADAPTADOR"</f>
        <v>SUPORTE ADAPTADOR</v>
      </c>
      <c r="C653" t="str">
        <f>"35861892"</f>
        <v>35861892</v>
      </c>
      <c r="D653" s="9">
        <v>1892</v>
      </c>
      <c r="E653" s="12" t="s">
        <v>13</v>
      </c>
    </row>
    <row r="654" spans="1:5" x14ac:dyDescent="0.25">
      <c r="A654" s="5">
        <v>2</v>
      </c>
      <c r="B654" s="6" t="str">
        <f>"SUPORTE DO LASER"</f>
        <v>SUPORTE DO LASER</v>
      </c>
      <c r="C654" s="6" t="str">
        <f>"35861897"</f>
        <v>35861897</v>
      </c>
      <c r="D654" s="10">
        <v>1897</v>
      </c>
      <c r="E654" s="12" t="s">
        <v>13</v>
      </c>
    </row>
    <row r="655" spans="1:5" x14ac:dyDescent="0.25">
      <c r="A655" s="4">
        <v>1</v>
      </c>
      <c r="B655" t="str">
        <f>"SUPORTE - 1913"</f>
        <v>SUPORTE - 1913</v>
      </c>
      <c r="C655" t="str">
        <f>"35861913"</f>
        <v>35861913</v>
      </c>
      <c r="D655" s="9">
        <v>1913</v>
      </c>
      <c r="E655" s="12" t="s">
        <v>13</v>
      </c>
    </row>
    <row r="656" spans="1:5" x14ac:dyDescent="0.25">
      <c r="A656" s="5">
        <v>2</v>
      </c>
      <c r="B656" s="6" t="str">
        <f>"SUPORTE DO REDUTOR - 1936"</f>
        <v>SUPORTE DO REDUTOR - 1936</v>
      </c>
      <c r="C656" s="6" t="str">
        <f>"35861936"</f>
        <v>35861936</v>
      </c>
      <c r="D656" s="10">
        <v>1936</v>
      </c>
      <c r="E656" s="12" t="s">
        <v>13</v>
      </c>
    </row>
    <row r="657" spans="1:5" x14ac:dyDescent="0.25">
      <c r="A657" s="4">
        <v>4</v>
      </c>
      <c r="B657" t="str">
        <f>"SUPORTE DO MOTOR - 1944"</f>
        <v>SUPORTE DO MOTOR - 1944</v>
      </c>
      <c r="C657" t="str">
        <f>"35861944"</f>
        <v>35861944</v>
      </c>
      <c r="D657" s="9">
        <v>1944</v>
      </c>
      <c r="E657" s="12" t="s">
        <v>13</v>
      </c>
    </row>
    <row r="658" spans="1:5" x14ac:dyDescent="0.25">
      <c r="A658" s="5">
        <v>4</v>
      </c>
      <c r="B658" s="6" t="str">
        <f>"SUPORTE DO BRAÇO DO ELEVADOR - 1950"</f>
        <v>SUPORTE DO BRAÇO DO ELEVADOR - 1950</v>
      </c>
      <c r="C658" s="6" t="str">
        <f>"35861950"</f>
        <v>35861950</v>
      </c>
      <c r="D658" s="10">
        <v>1950</v>
      </c>
      <c r="E658" s="12" t="s">
        <v>13</v>
      </c>
    </row>
    <row r="659" spans="1:5" x14ac:dyDescent="0.25">
      <c r="A659" s="4">
        <v>4</v>
      </c>
      <c r="B659" t="str">
        <f>"SUPORTE DO REDUTOR - 1951"</f>
        <v>SUPORTE DO REDUTOR - 1951</v>
      </c>
      <c r="C659" t="str">
        <f>"35861951"</f>
        <v>35861951</v>
      </c>
      <c r="D659" s="9">
        <v>1951</v>
      </c>
      <c r="E659" s="12" t="s">
        <v>13</v>
      </c>
    </row>
    <row r="660" spans="1:5" x14ac:dyDescent="0.25">
      <c r="A660" s="5">
        <v>4</v>
      </c>
      <c r="B660" s="6" t="str">
        <f>"SUPORTE - 1953"</f>
        <v>SUPORTE - 1953</v>
      </c>
      <c r="C660" s="6" t="str">
        <f>"35861953"</f>
        <v>35861953</v>
      </c>
      <c r="D660" s="10">
        <v>1953</v>
      </c>
      <c r="E660" s="12" t="s">
        <v>13</v>
      </c>
    </row>
    <row r="661" spans="1:5" x14ac:dyDescent="0.25">
      <c r="A661" s="4">
        <v>4</v>
      </c>
      <c r="B661" t="str">
        <f>"SUPORTE - 1954"</f>
        <v>SUPORTE - 1954</v>
      </c>
      <c r="C661" t="str">
        <f>"35861954"</f>
        <v>35861954</v>
      </c>
      <c r="D661" s="9">
        <v>1954</v>
      </c>
      <c r="E661" s="12" t="s">
        <v>13</v>
      </c>
    </row>
    <row r="662" spans="1:5" x14ac:dyDescent="0.25">
      <c r="A662" s="5">
        <v>4</v>
      </c>
      <c r="B662" s="6" t="str">
        <f>"SUPORTE - 1955"</f>
        <v>SUPORTE - 1955</v>
      </c>
      <c r="C662" s="6" t="str">
        <f>"35861955"</f>
        <v>35861955</v>
      </c>
      <c r="D662" s="10">
        <v>1955</v>
      </c>
      <c r="E662" s="12" t="s">
        <v>13</v>
      </c>
    </row>
    <row r="663" spans="1:5" x14ac:dyDescent="0.25">
      <c r="A663" s="4">
        <v>4</v>
      </c>
      <c r="B663" t="str">
        <f>"SUPORTE - 1958"</f>
        <v>SUPORTE - 1958</v>
      </c>
      <c r="C663" t="str">
        <f>"35861958"</f>
        <v>35861958</v>
      </c>
      <c r="D663" s="9">
        <v>1958</v>
      </c>
      <c r="E663" s="12" t="s">
        <v>13</v>
      </c>
    </row>
    <row r="664" spans="1:5" x14ac:dyDescent="0.25">
      <c r="A664" s="5">
        <v>2</v>
      </c>
      <c r="B664" s="6" t="str">
        <f>"SUPORTE DA ROTULA - 1975"</f>
        <v>SUPORTE DA ROTULA - 1975</v>
      </c>
      <c r="C664" s="6" t="str">
        <f>"35861975"</f>
        <v>35861975</v>
      </c>
      <c r="D664" s="10">
        <v>1975</v>
      </c>
      <c r="E664" s="12" t="s">
        <v>13</v>
      </c>
    </row>
    <row r="665" spans="1:5" x14ac:dyDescent="0.25">
      <c r="A665" s="4">
        <v>9</v>
      </c>
      <c r="B665" t="str">
        <f>"SUPORTE - 1976"</f>
        <v>SUPORTE - 1976</v>
      </c>
      <c r="C665" t="str">
        <f>"35861976"</f>
        <v>35861976</v>
      </c>
      <c r="D665" s="9">
        <v>1976</v>
      </c>
      <c r="E665" s="12" t="s">
        <v>13</v>
      </c>
    </row>
    <row r="666" spans="1:5" x14ac:dyDescent="0.25">
      <c r="A666" s="5">
        <v>1</v>
      </c>
      <c r="B666" s="6" t="str">
        <f>"SUPORTE - 1977"</f>
        <v>SUPORTE - 1977</v>
      </c>
      <c r="C666" s="6" t="str">
        <f>"35861977"</f>
        <v>35861977</v>
      </c>
      <c r="D666" s="10">
        <v>1977</v>
      </c>
      <c r="E666" s="12" t="s">
        <v>13</v>
      </c>
    </row>
    <row r="667" spans="1:5" x14ac:dyDescent="0.25">
      <c r="A667" s="4">
        <v>1</v>
      </c>
      <c r="B667" t="str">
        <f>"SUPORTE - 1978"</f>
        <v>SUPORTE - 1978</v>
      </c>
      <c r="C667" t="str">
        <f>"35861978"</f>
        <v>35861978</v>
      </c>
      <c r="D667" s="9">
        <v>1978</v>
      </c>
      <c r="E667" s="12" t="s">
        <v>13</v>
      </c>
    </row>
    <row r="668" spans="1:5" x14ac:dyDescent="0.25">
      <c r="A668" s="5">
        <v>2</v>
      </c>
      <c r="B668" s="6" t="str">
        <f>"SUPORTE SENSOR - 1980"</f>
        <v>SUPORTE SENSOR - 1980</v>
      </c>
      <c r="C668" s="6" t="str">
        <f>"35861980"</f>
        <v>35861980</v>
      </c>
      <c r="D668" s="10">
        <v>1980</v>
      </c>
      <c r="E668" s="12" t="s">
        <v>13</v>
      </c>
    </row>
    <row r="669" spans="1:5" x14ac:dyDescent="0.25">
      <c r="A669" s="4">
        <v>3</v>
      </c>
      <c r="B669" t="str">
        <f>"SUPORTE SENSOR - 1981"</f>
        <v>SUPORTE SENSOR - 1981</v>
      </c>
      <c r="C669" t="str">
        <f>"35861981"</f>
        <v>35861981</v>
      </c>
      <c r="D669" s="9">
        <v>1981</v>
      </c>
      <c r="E669" s="12" t="s">
        <v>13</v>
      </c>
    </row>
    <row r="670" spans="1:5" x14ac:dyDescent="0.25">
      <c r="A670" s="5">
        <v>2</v>
      </c>
      <c r="B670" s="6" t="str">
        <f>"SUPORTE SENSOR - 1982"</f>
        <v>SUPORTE SENSOR - 1982</v>
      </c>
      <c r="C670" s="6" t="str">
        <f>"35861982"</f>
        <v>35861982</v>
      </c>
      <c r="D670" s="10">
        <v>1982</v>
      </c>
      <c r="E670" s="12" t="s">
        <v>13</v>
      </c>
    </row>
    <row r="671" spans="1:5" x14ac:dyDescent="0.25">
      <c r="A671" s="4">
        <v>8</v>
      </c>
      <c r="B671" t="str">
        <f>"SUPORTE - 1991"</f>
        <v>SUPORTE - 1991</v>
      </c>
      <c r="C671" t="str">
        <f>"35861991"</f>
        <v>35861991</v>
      </c>
      <c r="D671" s="9">
        <v>1991</v>
      </c>
      <c r="E671" s="12" t="s">
        <v>13</v>
      </c>
    </row>
    <row r="672" spans="1:5" x14ac:dyDescent="0.25">
      <c r="A672" s="5">
        <v>2</v>
      </c>
      <c r="B672" s="6" t="str">
        <f>"SUPORTE - 1995"</f>
        <v>SUPORTE - 1995</v>
      </c>
      <c r="C672" s="6" t="str">
        <f>"35861995"</f>
        <v>35861995</v>
      </c>
      <c r="D672" s="10">
        <v>1995</v>
      </c>
      <c r="E672" s="12" t="s">
        <v>13</v>
      </c>
    </row>
    <row r="673" spans="1:5" x14ac:dyDescent="0.25">
      <c r="A673" s="4">
        <v>12</v>
      </c>
      <c r="B673" t="str">
        <f>"SUPORTE - 2130"</f>
        <v>SUPORTE - 2130</v>
      </c>
      <c r="C673" t="str">
        <f>"35862130"</f>
        <v>35862130</v>
      </c>
      <c r="D673" s="9">
        <v>2130</v>
      </c>
      <c r="E673" s="12" t="s">
        <v>13</v>
      </c>
    </row>
    <row r="674" spans="1:5" x14ac:dyDescent="0.25">
      <c r="A674" s="5">
        <v>2</v>
      </c>
      <c r="B674" s="6" t="str">
        <f>"SUPORTE - 2131"</f>
        <v>SUPORTE - 2131</v>
      </c>
      <c r="C674" s="6" t="str">
        <f>"35862131"</f>
        <v>35862131</v>
      </c>
      <c r="D674" s="10">
        <v>2131</v>
      </c>
      <c r="E674" s="12" t="s">
        <v>13</v>
      </c>
    </row>
    <row r="675" spans="1:5" x14ac:dyDescent="0.25">
      <c r="A675" s="4">
        <v>2</v>
      </c>
      <c r="B675" t="str">
        <f>"SUPORTE - 2132"</f>
        <v>SUPORTE - 2132</v>
      </c>
      <c r="C675" t="str">
        <f>"35862132"</f>
        <v>35862132</v>
      </c>
      <c r="D675" s="9">
        <v>2132</v>
      </c>
      <c r="E675" s="12" t="s">
        <v>13</v>
      </c>
    </row>
    <row r="676" spans="1:5" x14ac:dyDescent="0.25">
      <c r="A676" s="5">
        <v>1</v>
      </c>
      <c r="B676" s="6" t="str">
        <f>"SUPORTE DO SENSOR - 2166"</f>
        <v>SUPORTE DO SENSOR - 2166</v>
      </c>
      <c r="C676" s="6" t="str">
        <f>"35862166"</f>
        <v>35862166</v>
      </c>
      <c r="D676" s="10">
        <v>2166</v>
      </c>
      <c r="E676" s="12" t="s">
        <v>13</v>
      </c>
    </row>
    <row r="677" spans="1:5" x14ac:dyDescent="0.25">
      <c r="A677" s="4">
        <v>1</v>
      </c>
      <c r="B677" t="str">
        <f>"SUPORTE DO SENSOR - 2166V02"</f>
        <v>SUPORTE DO SENSOR - 2166V02</v>
      </c>
      <c r="C677" t="str">
        <f>"35862166V02"</f>
        <v>35862166V02</v>
      </c>
      <c r="D677" s="9">
        <v>2166</v>
      </c>
      <c r="E677" s="12" t="s">
        <v>13</v>
      </c>
    </row>
    <row r="678" spans="1:5" x14ac:dyDescent="0.25">
      <c r="A678" s="5">
        <v>1</v>
      </c>
      <c r="B678" s="6" t="str">
        <f>"SUPORTE DO SENSOR - 2167"</f>
        <v>SUPORTE DO SENSOR - 2167</v>
      </c>
      <c r="C678" s="6" t="str">
        <f>"35862167"</f>
        <v>35862167</v>
      </c>
      <c r="D678" s="10">
        <v>2167</v>
      </c>
      <c r="E678" s="12" t="s">
        <v>13</v>
      </c>
    </row>
    <row r="679" spans="1:5" x14ac:dyDescent="0.25">
      <c r="A679" s="4">
        <v>1</v>
      </c>
      <c r="B679" t="str">
        <f>"SUPORTE DO SENSOR - 2167V02"</f>
        <v>SUPORTE DO SENSOR - 2167V02</v>
      </c>
      <c r="C679" t="str">
        <f>"35862167V02"</f>
        <v>35862167V02</v>
      </c>
      <c r="D679" s="9">
        <v>2167</v>
      </c>
      <c r="E679" s="12" t="s">
        <v>13</v>
      </c>
    </row>
    <row r="680" spans="1:5" x14ac:dyDescent="0.25">
      <c r="A680" s="5">
        <v>1</v>
      </c>
      <c r="B680" s="6" t="str">
        <f>"SUPORTE PARA CONDENSADOR"</f>
        <v>SUPORTE PARA CONDENSADOR</v>
      </c>
      <c r="C680" s="6" t="str">
        <f>"35862225"</f>
        <v>35862225</v>
      </c>
      <c r="D680" s="10">
        <v>2225</v>
      </c>
      <c r="E680" s="12" t="s">
        <v>13</v>
      </c>
    </row>
    <row r="681" spans="1:5" x14ac:dyDescent="0.25">
      <c r="A681" s="4">
        <v>8</v>
      </c>
      <c r="B681" t="str">
        <f>"SUPORTE DO SENSOR - 2257"</f>
        <v>SUPORTE DO SENSOR - 2257</v>
      </c>
      <c r="C681" t="str">
        <f>"35862257"</f>
        <v>35862257</v>
      </c>
      <c r="D681" s="9">
        <v>2257</v>
      </c>
      <c r="E681" s="12" t="s">
        <v>13</v>
      </c>
    </row>
    <row r="682" spans="1:5" x14ac:dyDescent="0.25">
      <c r="A682" s="5">
        <v>8</v>
      </c>
      <c r="B682" s="6" t="str">
        <f>"SUPORTE - 2259"</f>
        <v>SUPORTE - 2259</v>
      </c>
      <c r="C682" s="6" t="str">
        <f>"35862259"</f>
        <v>35862259</v>
      </c>
      <c r="D682" s="10">
        <v>2259</v>
      </c>
      <c r="E682" s="12" t="s">
        <v>13</v>
      </c>
    </row>
    <row r="683" spans="1:5" x14ac:dyDescent="0.25">
      <c r="A683" s="4">
        <v>8</v>
      </c>
      <c r="B683" t="str">
        <f>"SUPORTE DO VENTILADOR - 2337"</f>
        <v>SUPORTE DO VENTILADOR - 2337</v>
      </c>
      <c r="C683" t="str">
        <f>"35862337"</f>
        <v>35862337</v>
      </c>
      <c r="D683" s="9">
        <v>2337</v>
      </c>
      <c r="E683" s="12" t="s">
        <v>13</v>
      </c>
    </row>
    <row r="684" spans="1:5" x14ac:dyDescent="0.25">
      <c r="A684" s="5">
        <v>2</v>
      </c>
      <c r="B684" s="6" t="str">
        <f>"SUPORTE - 2399"</f>
        <v>SUPORTE - 2399</v>
      </c>
      <c r="C684" s="6" t="str">
        <f>"35862399"</f>
        <v>35862399</v>
      </c>
      <c r="D684" s="10">
        <v>2399</v>
      </c>
      <c r="E684" s="12" t="s">
        <v>13</v>
      </c>
    </row>
    <row r="685" spans="1:5" x14ac:dyDescent="0.25">
      <c r="A685" s="4">
        <v>2</v>
      </c>
      <c r="B685" t="str">
        <f>"SUPORTE - 2400"</f>
        <v>SUPORTE - 2400</v>
      </c>
      <c r="C685" t="str">
        <f>"35862400"</f>
        <v>35862400</v>
      </c>
      <c r="D685" s="9">
        <v>2400</v>
      </c>
      <c r="E685" s="12" t="s">
        <v>13</v>
      </c>
    </row>
    <row r="686" spans="1:5" x14ac:dyDescent="0.25">
      <c r="A686" s="5">
        <v>1</v>
      </c>
      <c r="B686" s="6" t="str">
        <f>"SUPORTE - 2424"</f>
        <v>SUPORTE - 2424</v>
      </c>
      <c r="C686" s="6" t="str">
        <f>"35862424"</f>
        <v>35862424</v>
      </c>
      <c r="D686" s="10">
        <v>2424</v>
      </c>
      <c r="E686" s="12" t="s">
        <v>13</v>
      </c>
    </row>
    <row r="687" spans="1:5" x14ac:dyDescent="0.25">
      <c r="A687" s="4">
        <v>3</v>
      </c>
      <c r="B687" t="str">
        <f>"SUPORTE - 2568"</f>
        <v>SUPORTE - 2568</v>
      </c>
      <c r="C687" t="str">
        <f>"35862568"</f>
        <v>35862568</v>
      </c>
      <c r="D687" s="9">
        <v>2568</v>
      </c>
      <c r="E687" s="12" t="s">
        <v>13</v>
      </c>
    </row>
    <row r="688" spans="1:5" x14ac:dyDescent="0.25">
      <c r="A688" s="5">
        <v>4</v>
      </c>
      <c r="B688" s="6" t="str">
        <f>"SUPORTE DO VENTILADOR"</f>
        <v>SUPORTE DO VENTILADOR</v>
      </c>
      <c r="C688" s="6" t="str">
        <f>"35862573"</f>
        <v>35862573</v>
      </c>
      <c r="D688" s="10">
        <v>2573</v>
      </c>
      <c r="E688" s="12" t="s">
        <v>13</v>
      </c>
    </row>
    <row r="689" spans="1:5" x14ac:dyDescent="0.25">
      <c r="A689" s="4">
        <v>8</v>
      </c>
      <c r="B689" t="str">
        <f>"SUPORTE DO SENSOR - 2577"</f>
        <v>SUPORTE DO SENSOR - 2577</v>
      </c>
      <c r="C689" t="str">
        <f>"35862577"</f>
        <v>35862577</v>
      </c>
      <c r="D689" s="9">
        <v>2577</v>
      </c>
      <c r="E689" s="12" t="s">
        <v>13</v>
      </c>
    </row>
    <row r="690" spans="1:5" x14ac:dyDescent="0.25">
      <c r="A690" s="5">
        <v>1</v>
      </c>
      <c r="B690" s="6" t="str">
        <f>"SUPORTE DO PT100"</f>
        <v>SUPORTE DO PT100</v>
      </c>
      <c r="C690" s="6" t="str">
        <f>"35862595"</f>
        <v>35862595</v>
      </c>
      <c r="D690" s="10">
        <v>2595</v>
      </c>
      <c r="E690" s="12" t="s">
        <v>13</v>
      </c>
    </row>
    <row r="691" spans="1:5" x14ac:dyDescent="0.25">
      <c r="A691" s="4">
        <v>1</v>
      </c>
      <c r="B691" t="str">
        <f>"SUPORTE PARA DUTO DE SOPRO"</f>
        <v>SUPORTE PARA DUTO DE SOPRO</v>
      </c>
      <c r="C691" t="str">
        <f>"35862683"</f>
        <v>35862683</v>
      </c>
      <c r="D691" s="9">
        <v>2683</v>
      </c>
      <c r="E691" s="12" t="s">
        <v>13</v>
      </c>
    </row>
    <row r="692" spans="1:5" x14ac:dyDescent="0.25">
      <c r="A692" s="5">
        <v>1</v>
      </c>
      <c r="B692" s="6" t="str">
        <f>"SUPORTE DO PRESSOSTATO"</f>
        <v>SUPORTE DO PRESSOSTATO</v>
      </c>
      <c r="C692" s="6" t="str">
        <f>"35862958"</f>
        <v>35862958</v>
      </c>
      <c r="D692" s="10">
        <v>2958</v>
      </c>
      <c r="E692" s="12" t="s">
        <v>13</v>
      </c>
    </row>
    <row r="693" spans="1:5" x14ac:dyDescent="0.25">
      <c r="A693" s="4">
        <v>2</v>
      </c>
      <c r="B693" t="str">
        <f>"SUPORTE GUIA"</f>
        <v>SUPORTE GUIA</v>
      </c>
      <c r="C693" t="str">
        <f>"35863263"</f>
        <v>35863263</v>
      </c>
      <c r="D693" s="9">
        <v>3263</v>
      </c>
      <c r="E693" s="12" t="s">
        <v>13</v>
      </c>
    </row>
    <row r="694" spans="1:5" x14ac:dyDescent="0.25">
      <c r="A694" s="5">
        <v>1</v>
      </c>
      <c r="B694" s="6" t="str">
        <f>"SUPORTE DO SENSOR - 3767"</f>
        <v>SUPORTE DO SENSOR - 3767</v>
      </c>
      <c r="C694" s="6" t="str">
        <f>"35863767"</f>
        <v>35863767</v>
      </c>
      <c r="D694" s="10">
        <v>3767</v>
      </c>
      <c r="E694" s="12" t="s">
        <v>13</v>
      </c>
    </row>
    <row r="695" spans="1:5" x14ac:dyDescent="0.25">
      <c r="A695" s="4">
        <v>1</v>
      </c>
      <c r="B695" t="str">
        <f>"SUPORTE DO MOTOR - 3973"</f>
        <v>SUPORTE DO MOTOR - 3973</v>
      </c>
      <c r="C695" t="str">
        <f>"35863973"</f>
        <v>35863973</v>
      </c>
      <c r="D695" s="9">
        <v>3973</v>
      </c>
      <c r="E695" s="12" t="s">
        <v>13</v>
      </c>
    </row>
    <row r="696" spans="1:5" x14ac:dyDescent="0.25">
      <c r="A696" s="5">
        <v>3</v>
      </c>
      <c r="B696" s="6" t="str">
        <f>"SUPORTE DO MOTOR - 3976"</f>
        <v>SUPORTE DO MOTOR - 3976</v>
      </c>
      <c r="C696" s="6" t="str">
        <f>"35863976"</f>
        <v>35863976</v>
      </c>
      <c r="D696" s="10">
        <v>3976</v>
      </c>
      <c r="E696" s="12" t="s">
        <v>13</v>
      </c>
    </row>
    <row r="697" spans="1:5" x14ac:dyDescent="0.25">
      <c r="A697" s="4">
        <v>2</v>
      </c>
      <c r="B697" t="str">
        <f>"SUPORTE DA REATANCIA"</f>
        <v>SUPORTE DA REATANCIA</v>
      </c>
      <c r="C697" t="str">
        <f>"35865014"</f>
        <v>35865014</v>
      </c>
      <c r="D697" s="9">
        <v>5014</v>
      </c>
      <c r="E697" s="12" t="s">
        <v>13</v>
      </c>
    </row>
    <row r="698" spans="1:5" x14ac:dyDescent="0.25">
      <c r="A698" s="5">
        <v>2</v>
      </c>
      <c r="B698" s="6" t="str">
        <f>"SUPORTE DO ROLETE"</f>
        <v>SUPORTE DO ROLETE</v>
      </c>
      <c r="C698" s="6" t="str">
        <f>"35865015"</f>
        <v>35865015</v>
      </c>
      <c r="D698" s="10">
        <v>5015</v>
      </c>
      <c r="E698" s="12" t="s">
        <v>13</v>
      </c>
    </row>
    <row r="699" spans="1:5" x14ac:dyDescent="0.25">
      <c r="A699" s="4">
        <v>2</v>
      </c>
      <c r="B699" t="str">
        <f>"SUPORTE DA FACA MAQ 1000"</f>
        <v>SUPORTE DA FACA MAQ 1000</v>
      </c>
      <c r="C699" t="str">
        <f>"35865108BE0"</f>
        <v>35865108BE0</v>
      </c>
      <c r="D699" s="9">
        <v>5108</v>
      </c>
      <c r="E699" s="12" t="s">
        <v>13</v>
      </c>
    </row>
    <row r="700" spans="1:5" x14ac:dyDescent="0.25">
      <c r="A700" s="5">
        <v>2</v>
      </c>
      <c r="B700" s="6" t="str">
        <f>"SUPORTE - 5144"</f>
        <v>SUPORTE - 5144</v>
      </c>
      <c r="C700" s="6" t="str">
        <f>"35865144"</f>
        <v>35865144</v>
      </c>
      <c r="D700" s="10">
        <v>5144</v>
      </c>
      <c r="E700" s="12" t="s">
        <v>13</v>
      </c>
    </row>
    <row r="701" spans="1:5" x14ac:dyDescent="0.25">
      <c r="A701" s="4">
        <v>1</v>
      </c>
      <c r="B701" t="str">
        <f>"SUPORTE DA ROTULA - 5215"</f>
        <v>SUPORTE DA ROTULA - 5215</v>
      </c>
      <c r="C701" t="str">
        <f>"35865215"</f>
        <v>35865215</v>
      </c>
      <c r="D701" s="9">
        <v>5215</v>
      </c>
      <c r="E701" s="12" t="s">
        <v>13</v>
      </c>
    </row>
    <row r="702" spans="1:5" x14ac:dyDescent="0.25">
      <c r="A702" s="5">
        <v>4</v>
      </c>
      <c r="B702" s="6" t="str">
        <f>"SUPORTE DE REGULAGEM"</f>
        <v>SUPORTE DE REGULAGEM</v>
      </c>
      <c r="C702" s="6" t="str">
        <f>"35865225"</f>
        <v>35865225</v>
      </c>
      <c r="D702" s="10">
        <v>5225</v>
      </c>
      <c r="E702" s="12" t="s">
        <v>13</v>
      </c>
    </row>
    <row r="703" spans="1:5" x14ac:dyDescent="0.25">
      <c r="A703" s="4">
        <v>4</v>
      </c>
      <c r="B703" t="str">
        <f>"SUPORTE DO BATENTE - 5229"</f>
        <v>SUPORTE DO BATENTE - 5229</v>
      </c>
      <c r="C703" t="str">
        <f>"35865229"</f>
        <v>35865229</v>
      </c>
      <c r="D703" s="9">
        <v>5229</v>
      </c>
      <c r="E703" s="12" t="s">
        <v>13</v>
      </c>
    </row>
    <row r="704" spans="1:5" x14ac:dyDescent="0.25">
      <c r="A704" s="5">
        <v>1</v>
      </c>
      <c r="B704" s="6" t="str">
        <f>"SUPORTE DA ARTICULAÇÃO"</f>
        <v>SUPORTE DA ARTICULAÇÃO</v>
      </c>
      <c r="C704" s="6" t="str">
        <f>"35865234"</f>
        <v>35865234</v>
      </c>
      <c r="D704" s="10">
        <v>5234</v>
      </c>
      <c r="E704" s="12" t="s">
        <v>13</v>
      </c>
    </row>
    <row r="705" spans="1:5" x14ac:dyDescent="0.25">
      <c r="A705" s="4">
        <v>2</v>
      </c>
      <c r="B705" t="str">
        <f>"SUPORTE DO PISTÃO"</f>
        <v>SUPORTE DO PISTÃO</v>
      </c>
      <c r="C705" t="str">
        <f>"35865236"</f>
        <v>35865236</v>
      </c>
      <c r="D705" s="9">
        <v>5236</v>
      </c>
      <c r="E705" s="12" t="s">
        <v>13</v>
      </c>
    </row>
    <row r="706" spans="1:5" x14ac:dyDescent="0.25">
      <c r="A706" s="5">
        <v>1</v>
      </c>
      <c r="B706" s="6" t="str">
        <f>"SUPORTE DA ROTULA - 5237"</f>
        <v>SUPORTE DA ROTULA - 5237</v>
      </c>
      <c r="C706" s="6" t="str">
        <f>"35865237"</f>
        <v>35865237</v>
      </c>
      <c r="D706" s="10">
        <v>5237</v>
      </c>
      <c r="E706" s="12" t="s">
        <v>13</v>
      </c>
    </row>
    <row r="707" spans="1:5" x14ac:dyDescent="0.25">
      <c r="A707" s="4">
        <v>2</v>
      </c>
      <c r="B707" t="str">
        <f>"SUPORTE DA HASTE"</f>
        <v>SUPORTE DA HASTE</v>
      </c>
      <c r="C707" t="str">
        <f>"35865295"</f>
        <v>35865295</v>
      </c>
      <c r="D707" s="9">
        <v>5295</v>
      </c>
      <c r="E707" s="12" t="s">
        <v>13</v>
      </c>
    </row>
    <row r="708" spans="1:5" x14ac:dyDescent="0.25">
      <c r="A708" s="5">
        <v>2</v>
      </c>
      <c r="B708" s="6" t="str">
        <f>"SUPORTE DO TANQUE DE AR"</f>
        <v>SUPORTE DO TANQUE DE AR</v>
      </c>
      <c r="C708" s="6" t="str">
        <f>"35865303"</f>
        <v>35865303</v>
      </c>
      <c r="D708" s="10">
        <v>5303</v>
      </c>
      <c r="E708" s="12" t="s">
        <v>13</v>
      </c>
    </row>
    <row r="709" spans="1:5" x14ac:dyDescent="0.25">
      <c r="A709" s="4">
        <v>1</v>
      </c>
      <c r="B709" t="str">
        <f>"SUPORTE - 5500"</f>
        <v>SUPORTE - 5500</v>
      </c>
      <c r="C709" t="str">
        <f>"35865500"</f>
        <v>35865500</v>
      </c>
      <c r="D709" s="9">
        <v>5500</v>
      </c>
      <c r="E709" s="12" t="s">
        <v>13</v>
      </c>
    </row>
    <row r="710" spans="1:5" x14ac:dyDescent="0.25">
      <c r="A710" s="5">
        <v>1</v>
      </c>
      <c r="B710" s="6" t="str">
        <f>"SUPORTE DO SENSOR - 5504"</f>
        <v>SUPORTE DO SENSOR - 5504</v>
      </c>
      <c r="C710" s="6" t="str">
        <f>"35865504"</f>
        <v>35865504</v>
      </c>
      <c r="D710" s="10">
        <v>5504</v>
      </c>
      <c r="E710" s="12" t="s">
        <v>13</v>
      </c>
    </row>
    <row r="711" spans="1:5" x14ac:dyDescent="0.25">
      <c r="A711" s="4">
        <v>1</v>
      </c>
      <c r="B711" t="str">
        <f>"SUPORTE DO SENSOR - 5505"</f>
        <v>SUPORTE DO SENSOR - 5505</v>
      </c>
      <c r="C711" t="str">
        <f>"35865505"</f>
        <v>35865505</v>
      </c>
      <c r="D711" s="9">
        <v>5505</v>
      </c>
      <c r="E711" s="12" t="s">
        <v>13</v>
      </c>
    </row>
    <row r="712" spans="1:5" x14ac:dyDescent="0.25">
      <c r="A712" s="5">
        <v>1</v>
      </c>
      <c r="B712" s="6" t="str">
        <f>"SUPORTE ESQUERDO - 5506"</f>
        <v>SUPORTE ESQUERDO - 5506</v>
      </c>
      <c r="C712" s="6" t="str">
        <f>"35865506"</f>
        <v>35865506</v>
      </c>
      <c r="D712" s="10">
        <v>5506</v>
      </c>
      <c r="E712" s="12" t="s">
        <v>13</v>
      </c>
    </row>
    <row r="713" spans="1:5" x14ac:dyDescent="0.25">
      <c r="A713" s="4">
        <v>1</v>
      </c>
      <c r="B713" t="str">
        <f>"SUPORTE DIREITO - 5507"</f>
        <v>SUPORTE DIREITO - 5507</v>
      </c>
      <c r="C713" t="str">
        <f>"35865507"</f>
        <v>35865507</v>
      </c>
      <c r="D713" s="9">
        <v>5507</v>
      </c>
      <c r="E713" s="12" t="s">
        <v>13</v>
      </c>
    </row>
    <row r="714" spans="1:5" x14ac:dyDescent="0.25">
      <c r="A714" s="5">
        <v>1</v>
      </c>
      <c r="B714" s="6" t="str">
        <f>"SUPORTE DIREITO - 5511"</f>
        <v>SUPORTE DIREITO - 5511</v>
      </c>
      <c r="C714" s="6" t="str">
        <f>"35865511"</f>
        <v>35865511</v>
      </c>
      <c r="D714" s="10">
        <v>5511</v>
      </c>
      <c r="E714" s="12" t="s">
        <v>13</v>
      </c>
    </row>
    <row r="715" spans="1:5" x14ac:dyDescent="0.25">
      <c r="A715" s="4">
        <v>1</v>
      </c>
      <c r="B715" t="str">
        <f>"SUPORTE ESQUERDO - 5512"</f>
        <v>SUPORTE ESQUERDO - 5512</v>
      </c>
      <c r="C715" t="str">
        <f>"35865512"</f>
        <v>35865512</v>
      </c>
      <c r="D715" s="9">
        <v>5512</v>
      </c>
      <c r="E715" s="12" t="s">
        <v>13</v>
      </c>
    </row>
    <row r="716" spans="1:5" x14ac:dyDescent="0.25">
      <c r="A716" s="5">
        <v>1</v>
      </c>
      <c r="B716" s="6" t="str">
        <f>"SUPORTE - 5513"</f>
        <v>SUPORTE - 5513</v>
      </c>
      <c r="C716" s="6" t="str">
        <f>"35865513"</f>
        <v>35865513</v>
      </c>
      <c r="D716" s="10">
        <v>5513</v>
      </c>
      <c r="E716" s="12" t="s">
        <v>13</v>
      </c>
    </row>
    <row r="717" spans="1:5" x14ac:dyDescent="0.25">
      <c r="A717" s="4">
        <v>2</v>
      </c>
      <c r="B717" t="str">
        <f>"SUPORTE DA CHAPA DE AÇO"</f>
        <v>SUPORTE DA CHAPA DE AÇO</v>
      </c>
      <c r="C717" t="str">
        <f>"35865515"</f>
        <v>35865515</v>
      </c>
      <c r="D717" s="9">
        <v>5515</v>
      </c>
      <c r="E717" s="12" t="s">
        <v>13</v>
      </c>
    </row>
    <row r="718" spans="1:5" x14ac:dyDescent="0.25">
      <c r="A718" s="5">
        <v>2</v>
      </c>
      <c r="B718" s="6" t="str">
        <f>"SUPORTE - 5525"</f>
        <v>SUPORTE - 5525</v>
      </c>
      <c r="C718" s="6" t="str">
        <f>"35865525"</f>
        <v>35865525</v>
      </c>
      <c r="D718" s="10">
        <v>5525</v>
      </c>
      <c r="E718" s="12" t="s">
        <v>13</v>
      </c>
    </row>
    <row r="719" spans="1:5" x14ac:dyDescent="0.25">
      <c r="A719" s="4">
        <v>32</v>
      </c>
      <c r="B719" t="str">
        <f>"SUPORTE - 5526"</f>
        <v>SUPORTE - 5526</v>
      </c>
      <c r="C719" t="str">
        <f>"35865526"</f>
        <v>35865526</v>
      </c>
      <c r="D719" s="9">
        <v>5526</v>
      </c>
      <c r="E719" s="12" t="s">
        <v>13</v>
      </c>
    </row>
    <row r="720" spans="1:5" x14ac:dyDescent="0.25">
      <c r="A720" s="5">
        <v>8</v>
      </c>
      <c r="B720" s="6" t="str">
        <f>"SUPORTE DO MOTOR - 5564"</f>
        <v>SUPORTE DO MOTOR - 5564</v>
      </c>
      <c r="C720" s="6" t="str">
        <f>"35865564"</f>
        <v>35865564</v>
      </c>
      <c r="D720" s="10">
        <v>5564</v>
      </c>
      <c r="E720" s="12" t="s">
        <v>13</v>
      </c>
    </row>
    <row r="721" spans="1:5" x14ac:dyDescent="0.25">
      <c r="A721" s="4">
        <v>2</v>
      </c>
      <c r="B721" t="str">
        <f>"SUPORTE DO EIXO EXPANCIVO MAQ 1000"</f>
        <v>SUPORTE DO EIXO EXPANCIVO MAQ 1000</v>
      </c>
      <c r="C721" t="str">
        <f>"35865565BE0"</f>
        <v>35865565BE0</v>
      </c>
      <c r="D721" s="9">
        <v>5565</v>
      </c>
      <c r="E721" s="12" t="s">
        <v>13</v>
      </c>
    </row>
    <row r="722" spans="1:5" x14ac:dyDescent="0.25">
      <c r="A722" s="5">
        <v>1</v>
      </c>
      <c r="B722" s="6" t="str">
        <f>"SUPORTE - 5568"</f>
        <v>SUPORTE - 5568</v>
      </c>
      <c r="C722" s="6" t="str">
        <f>"35865568"</f>
        <v>35865568</v>
      </c>
      <c r="D722" s="10">
        <v>5568</v>
      </c>
      <c r="E722" s="12" t="s">
        <v>13</v>
      </c>
    </row>
    <row r="723" spans="1:5" x14ac:dyDescent="0.25">
      <c r="A723" s="4">
        <v>16</v>
      </c>
      <c r="B723" t="str">
        <f>"SUPORTE DE FIXAÇÃO DO TAPETE DE SEGURANÇA"</f>
        <v>SUPORTE DE FIXAÇÃO DO TAPETE DE SEGURANÇA</v>
      </c>
      <c r="C723" t="str">
        <f>"35865570"</f>
        <v>35865570</v>
      </c>
      <c r="D723" s="9">
        <v>5570</v>
      </c>
      <c r="E723" s="12" t="s">
        <v>13</v>
      </c>
    </row>
    <row r="724" spans="1:5" x14ac:dyDescent="0.25">
      <c r="A724" s="5">
        <v>2</v>
      </c>
      <c r="B724" s="6" t="str">
        <f>"SUPORTE DAS BOMBAS"</f>
        <v>SUPORTE DAS BOMBAS</v>
      </c>
      <c r="C724" s="6" t="str">
        <f>"35865604"</f>
        <v>35865604</v>
      </c>
      <c r="D724" s="10">
        <v>5604</v>
      </c>
      <c r="E724" s="12" t="s">
        <v>13</v>
      </c>
    </row>
    <row r="725" spans="1:5" x14ac:dyDescent="0.25">
      <c r="A725" s="4">
        <v>2</v>
      </c>
      <c r="B725" t="str">
        <f>"SUPORTE DAS BOMBAS DE ALIMENTAÇÃO"</f>
        <v>SUPORTE DAS BOMBAS DE ALIMENTAÇÃO</v>
      </c>
      <c r="C725" t="str">
        <f>"35865607"</f>
        <v>35865607</v>
      </c>
      <c r="D725" s="9">
        <v>5607</v>
      </c>
      <c r="E725" s="12" t="s">
        <v>13</v>
      </c>
    </row>
    <row r="726" spans="1:5" x14ac:dyDescent="0.25">
      <c r="A726" s="5">
        <v>1</v>
      </c>
      <c r="B726" s="6" t="str">
        <f>"SUPORTE DO ALINHADOR MAQ 1000"</f>
        <v>SUPORTE DO ALINHADOR MAQ 1000</v>
      </c>
      <c r="C726" s="6" t="str">
        <f>"35865609BE0"</f>
        <v>35865609BE0</v>
      </c>
      <c r="D726" s="10">
        <v>5609</v>
      </c>
      <c r="E726" s="12" t="s">
        <v>13</v>
      </c>
    </row>
    <row r="727" spans="1:5" x14ac:dyDescent="0.25">
      <c r="A727" s="4">
        <v>8</v>
      </c>
      <c r="B727" t="str">
        <f>"SUPORTE DO REDUTOR 5962"</f>
        <v>SUPORTE DO REDUTOR 5962</v>
      </c>
      <c r="C727" t="str">
        <f>"35865962"</f>
        <v>35865962</v>
      </c>
      <c r="D727" s="9">
        <v>5962</v>
      </c>
      <c r="E727" s="12" t="s">
        <v>13</v>
      </c>
    </row>
    <row r="728" spans="1:5" x14ac:dyDescent="0.25">
      <c r="A728" s="5">
        <v>16</v>
      </c>
      <c r="B728" s="6" t="str">
        <f>"SUPORTE DO MOTOR - 5963"</f>
        <v>SUPORTE DO MOTOR - 5963</v>
      </c>
      <c r="C728" s="6" t="str">
        <f>"35865963"</f>
        <v>35865963</v>
      </c>
      <c r="D728" s="10">
        <v>5963</v>
      </c>
      <c r="E728" s="12" t="s">
        <v>13</v>
      </c>
    </row>
    <row r="729" spans="1:5" x14ac:dyDescent="0.25">
      <c r="A729" s="4">
        <v>6</v>
      </c>
      <c r="B729" t="str">
        <f>"SUPORTE - 5982"</f>
        <v>SUPORTE - 5982</v>
      </c>
      <c r="C729" t="str">
        <f>"35865982"</f>
        <v>35865982</v>
      </c>
      <c r="D729" s="9">
        <v>5982</v>
      </c>
      <c r="E729" s="12" t="s">
        <v>13</v>
      </c>
    </row>
    <row r="730" spans="1:5" x14ac:dyDescent="0.25">
      <c r="A730" s="5">
        <v>1</v>
      </c>
      <c r="B730" s="6" t="str">
        <f>"SUPORTE - 5985"</f>
        <v>SUPORTE - 5985</v>
      </c>
      <c r="C730" s="6" t="str">
        <f>"35865985"</f>
        <v>35865985</v>
      </c>
      <c r="D730" s="10">
        <v>5985</v>
      </c>
      <c r="E730" s="12" t="s">
        <v>13</v>
      </c>
    </row>
    <row r="731" spans="1:5" x14ac:dyDescent="0.25">
      <c r="A731" s="4">
        <v>2</v>
      </c>
      <c r="B731" t="str">
        <f>"SUPORTE - 5994"</f>
        <v>SUPORTE - 5994</v>
      </c>
      <c r="C731" t="str">
        <f>"35865994"</f>
        <v>35865994</v>
      </c>
      <c r="D731" s="9">
        <v>5994</v>
      </c>
      <c r="E731" s="12" t="s">
        <v>13</v>
      </c>
    </row>
    <row r="732" spans="1:5" x14ac:dyDescent="0.25">
      <c r="A732" s="5">
        <v>1</v>
      </c>
      <c r="B732" s="6" t="str">
        <f>"SUPORTE - 6008"</f>
        <v>SUPORTE - 6008</v>
      </c>
      <c r="C732" s="6" t="str">
        <f>"35866008"</f>
        <v>35866008</v>
      </c>
      <c r="D732" s="10">
        <v>6008</v>
      </c>
      <c r="E732" s="12" t="s">
        <v>13</v>
      </c>
    </row>
    <row r="733" spans="1:5" x14ac:dyDescent="0.25">
      <c r="A733" s="4">
        <v>1</v>
      </c>
      <c r="B733" t="str">
        <f>"SUPORTE DO SENSOR - 6026"</f>
        <v>SUPORTE DO SENSOR - 6026</v>
      </c>
      <c r="C733" t="str">
        <f>"35866026"</f>
        <v>35866026</v>
      </c>
      <c r="D733" s="9">
        <v>6026</v>
      </c>
      <c r="E733" s="12" t="s">
        <v>13</v>
      </c>
    </row>
    <row r="734" spans="1:5" x14ac:dyDescent="0.25">
      <c r="A734" s="5">
        <v>1</v>
      </c>
      <c r="B734" s="6" t="str">
        <f>"SUPORTE DO SENSOR - 6027"</f>
        <v>SUPORTE DO SENSOR - 6027</v>
      </c>
      <c r="C734" s="6" t="str">
        <f>"35866027"</f>
        <v>35866027</v>
      </c>
      <c r="D734" s="10">
        <v>6027</v>
      </c>
      <c r="E734" s="12" t="s">
        <v>13</v>
      </c>
    </row>
    <row r="735" spans="1:5" x14ac:dyDescent="0.25">
      <c r="A735" s="4">
        <v>4</v>
      </c>
      <c r="B735" t="str">
        <f>"SUPORTE DO MOTOR 6035"</f>
        <v>SUPORTE DO MOTOR 6035</v>
      </c>
      <c r="C735" t="str">
        <f>"35866035"</f>
        <v>35866035</v>
      </c>
      <c r="D735" s="9">
        <v>6035</v>
      </c>
      <c r="E735" s="12" t="s">
        <v>13</v>
      </c>
    </row>
    <row r="736" spans="1:5" x14ac:dyDescent="0.25">
      <c r="A736" s="5">
        <v>1</v>
      </c>
      <c r="B736" s="6" t="str">
        <f>"SUPORTE ESTICADOR 6038"</f>
        <v>SUPORTE ESTICADOR 6038</v>
      </c>
      <c r="C736" s="6" t="str">
        <f>"35866038"</f>
        <v>35866038</v>
      </c>
      <c r="D736" s="10">
        <v>6038</v>
      </c>
      <c r="E736" s="12" t="s">
        <v>13</v>
      </c>
    </row>
    <row r="737" spans="1:5" x14ac:dyDescent="0.25">
      <c r="A737" s="4">
        <v>3</v>
      </c>
      <c r="B737" t="str">
        <f>"SUPORTE DA ESTEIRA - 6041"</f>
        <v>SUPORTE DA ESTEIRA - 6041</v>
      </c>
      <c r="C737" t="str">
        <f>"35866041"</f>
        <v>35866041</v>
      </c>
      <c r="D737" s="9">
        <v>6041</v>
      </c>
      <c r="E737" s="12" t="s">
        <v>13</v>
      </c>
    </row>
    <row r="738" spans="1:5" x14ac:dyDescent="0.25">
      <c r="A738" s="5">
        <v>1</v>
      </c>
      <c r="B738" s="6" t="str">
        <f>"SUPORTE DA VÁLVULA PNEUMÁTICA - 6096"</f>
        <v>SUPORTE DA VÁLVULA PNEUMÁTICA - 6096</v>
      </c>
      <c r="C738" s="6" t="str">
        <f>"35866096"</f>
        <v>35866096</v>
      </c>
      <c r="D738" s="10">
        <v>6096</v>
      </c>
      <c r="E738" s="12" t="s">
        <v>13</v>
      </c>
    </row>
    <row r="739" spans="1:5" x14ac:dyDescent="0.25">
      <c r="A739" s="4">
        <v>1</v>
      </c>
      <c r="B739" t="str">
        <f>"SUPORTE - 6127"</f>
        <v>SUPORTE - 6127</v>
      </c>
      <c r="C739" t="str">
        <f>"35866127"</f>
        <v>35866127</v>
      </c>
      <c r="D739" s="9">
        <v>6127</v>
      </c>
      <c r="E739" s="12" t="s">
        <v>13</v>
      </c>
    </row>
    <row r="740" spans="1:5" x14ac:dyDescent="0.25">
      <c r="A740" s="5">
        <v>1</v>
      </c>
      <c r="B740" s="6" t="str">
        <f>"SUPORTE - 6135"</f>
        <v>SUPORTE - 6135</v>
      </c>
      <c r="C740" s="6" t="str">
        <f>"35866135"</f>
        <v>35866135</v>
      </c>
      <c r="D740" s="10">
        <v>6135</v>
      </c>
      <c r="E740" s="12" t="s">
        <v>13</v>
      </c>
    </row>
    <row r="741" spans="1:5" x14ac:dyDescent="0.25">
      <c r="A741" s="4">
        <v>4</v>
      </c>
      <c r="B741" t="str">
        <f>"SUPORTE DO BATENTE - 8020"</f>
        <v>SUPORTE DO BATENTE - 8020</v>
      </c>
      <c r="C741" t="str">
        <f>"35868020"</f>
        <v>35868020</v>
      </c>
      <c r="D741" s="9">
        <v>8020</v>
      </c>
      <c r="E741" s="12" t="s">
        <v>13</v>
      </c>
    </row>
    <row r="742" spans="1:5" x14ac:dyDescent="0.25">
      <c r="A742" s="5">
        <v>1</v>
      </c>
      <c r="B742" s="6" t="str">
        <f>"SUPORTE DA ARTICULAÇÃO - 8022"</f>
        <v>SUPORTE DA ARTICULAÇÃO - 8022</v>
      </c>
      <c r="C742" s="6" t="str">
        <f>"35868022"</f>
        <v>35868022</v>
      </c>
      <c r="D742" s="10">
        <v>8022</v>
      </c>
      <c r="E742" s="12" t="s">
        <v>13</v>
      </c>
    </row>
    <row r="743" spans="1:5" x14ac:dyDescent="0.25">
      <c r="A743" s="4">
        <v>8</v>
      </c>
      <c r="B743" t="str">
        <f>"SUPORTE DA PORCA - 8044"</f>
        <v>SUPORTE DA PORCA - 8044</v>
      </c>
      <c r="C743" t="str">
        <f>"35868044"</f>
        <v>35868044</v>
      </c>
      <c r="D743" s="9">
        <v>8044</v>
      </c>
      <c r="E743" s="12" t="s">
        <v>13</v>
      </c>
    </row>
    <row r="744" spans="1:5" x14ac:dyDescent="0.25">
      <c r="A744" s="5">
        <v>8</v>
      </c>
      <c r="B744" s="6" t="str">
        <f>"SUPORTE - 8078"</f>
        <v>SUPORTE - 8078</v>
      </c>
      <c r="C744" s="6" t="str">
        <f>"35868078"</f>
        <v>35868078</v>
      </c>
      <c r="D744" s="10">
        <v>8078</v>
      </c>
      <c r="E744" s="12" t="s">
        <v>13</v>
      </c>
    </row>
    <row r="745" spans="1:5" x14ac:dyDescent="0.25">
      <c r="A745" s="4">
        <v>8</v>
      </c>
      <c r="B745" t="str">
        <f>"SUPORTE - 8079"</f>
        <v>SUPORTE - 8079</v>
      </c>
      <c r="C745" t="str">
        <f>"35868079"</f>
        <v>35868079</v>
      </c>
      <c r="D745" s="9">
        <v>8079</v>
      </c>
      <c r="E745" s="12" t="s">
        <v>13</v>
      </c>
    </row>
    <row r="746" spans="1:5" x14ac:dyDescent="0.25">
      <c r="A746" s="5">
        <v>8</v>
      </c>
      <c r="B746" s="6" t="str">
        <f>"SUPORTE - 8081"</f>
        <v>SUPORTE - 8081</v>
      </c>
      <c r="C746" s="6" t="str">
        <f>"35868081"</f>
        <v>35868081</v>
      </c>
      <c r="D746" s="10">
        <v>8081</v>
      </c>
      <c r="E746" s="12" t="s">
        <v>13</v>
      </c>
    </row>
    <row r="747" spans="1:5" x14ac:dyDescent="0.25">
      <c r="A747" s="4">
        <v>8</v>
      </c>
      <c r="B747" t="str">
        <f>"SUPORTE - 8083"</f>
        <v>SUPORTE - 8083</v>
      </c>
      <c r="C747" t="str">
        <f>"35868083"</f>
        <v>35868083</v>
      </c>
      <c r="D747" s="9">
        <v>8083</v>
      </c>
      <c r="E747" s="12" t="s">
        <v>13</v>
      </c>
    </row>
    <row r="748" spans="1:5" x14ac:dyDescent="0.25">
      <c r="A748" s="5">
        <v>16</v>
      </c>
      <c r="B748" s="6" t="str">
        <f>"SUPORTE - 8085"</f>
        <v>SUPORTE - 8085</v>
      </c>
      <c r="C748" s="6" t="str">
        <f>"35868085"</f>
        <v>35868085</v>
      </c>
      <c r="D748" s="10">
        <v>8085</v>
      </c>
      <c r="E748" s="12" t="s">
        <v>13</v>
      </c>
    </row>
    <row r="749" spans="1:5" x14ac:dyDescent="0.25">
      <c r="A749" s="4">
        <v>8</v>
      </c>
      <c r="B749" t="str">
        <f>"SUPORTE - 8089"</f>
        <v>SUPORTE - 8089</v>
      </c>
      <c r="C749" t="str">
        <f>"35868089"</f>
        <v>35868089</v>
      </c>
      <c r="D749" s="9">
        <v>8089</v>
      </c>
      <c r="E749" s="12" t="s">
        <v>13</v>
      </c>
    </row>
    <row r="750" spans="1:5" x14ac:dyDescent="0.25">
      <c r="A750" s="5">
        <v>8</v>
      </c>
      <c r="B750" s="6" t="str">
        <f>"SUPORTE - 8090"</f>
        <v>SUPORTE - 8090</v>
      </c>
      <c r="C750" s="6" t="str">
        <f>"35868090"</f>
        <v>35868090</v>
      </c>
      <c r="D750" s="10">
        <v>8090</v>
      </c>
      <c r="E750" s="12" t="s">
        <v>13</v>
      </c>
    </row>
    <row r="751" spans="1:5" x14ac:dyDescent="0.25">
      <c r="A751" s="4">
        <v>16</v>
      </c>
      <c r="B751" t="str">
        <f>"SUPORTE - 8091"</f>
        <v>SUPORTE - 8091</v>
      </c>
      <c r="C751" t="str">
        <f>"35868091"</f>
        <v>35868091</v>
      </c>
      <c r="D751" s="9">
        <v>8091</v>
      </c>
      <c r="E751" s="12" t="s">
        <v>13</v>
      </c>
    </row>
    <row r="752" spans="1:5" x14ac:dyDescent="0.25">
      <c r="A752" s="5">
        <v>6</v>
      </c>
      <c r="B752" s="6" t="str">
        <f>"SUPORTE - 8093"</f>
        <v>SUPORTE - 8093</v>
      </c>
      <c r="C752" s="6" t="str">
        <f>"35868093"</f>
        <v>35868093</v>
      </c>
      <c r="D752" s="10">
        <v>8093</v>
      </c>
      <c r="E752" s="12" t="s">
        <v>13</v>
      </c>
    </row>
    <row r="753" spans="1:5" x14ac:dyDescent="0.25">
      <c r="A753" s="4">
        <v>1</v>
      </c>
      <c r="B753" t="str">
        <f>"SUPORTE - 8154"</f>
        <v>SUPORTE - 8154</v>
      </c>
      <c r="C753" t="str">
        <f>"35868154"</f>
        <v>35868154</v>
      </c>
      <c r="D753" s="9">
        <v>8154</v>
      </c>
      <c r="E753" s="12" t="s">
        <v>13</v>
      </c>
    </row>
    <row r="754" spans="1:5" x14ac:dyDescent="0.25">
      <c r="A754" s="5">
        <v>14</v>
      </c>
      <c r="B754" s="6" t="str">
        <f>"SUPORTE - 8206"</f>
        <v>SUPORTE - 8206</v>
      </c>
      <c r="C754" s="6" t="str">
        <f>"35868206"</f>
        <v>35868206</v>
      </c>
      <c r="D754" s="10">
        <v>8206</v>
      </c>
      <c r="E754" s="12" t="s">
        <v>13</v>
      </c>
    </row>
    <row r="755" spans="1:5" x14ac:dyDescent="0.25">
      <c r="A755" s="4">
        <v>1</v>
      </c>
      <c r="B755" t="str">
        <f>"SUPORTE DO ALINHADOR DE ENTRADA MÁQ. 1000"</f>
        <v>SUPORTE DO ALINHADOR DE ENTRADA MÁQ. 1000</v>
      </c>
      <c r="C755" t="str">
        <f>"35868218BE0"</f>
        <v>35868218BE0</v>
      </c>
      <c r="D755" s="9">
        <v>8218</v>
      </c>
      <c r="E755" s="12" t="s">
        <v>13</v>
      </c>
    </row>
    <row r="756" spans="1:5" x14ac:dyDescent="0.25">
      <c r="A756" s="5">
        <v>8</v>
      </c>
      <c r="B756" s="6" t="str">
        <f>"SUPORTE DO MOTOR - 8221"</f>
        <v>SUPORTE DO MOTOR - 8221</v>
      </c>
      <c r="C756" s="6" t="str">
        <f>"35868221"</f>
        <v>35868221</v>
      </c>
      <c r="D756" s="10">
        <v>8221</v>
      </c>
      <c r="E756" s="12" t="s">
        <v>13</v>
      </c>
    </row>
    <row r="757" spans="1:5" x14ac:dyDescent="0.25">
      <c r="A757" s="4">
        <v>2</v>
      </c>
      <c r="B757" t="str">
        <f>"SUPORTE"</f>
        <v>SUPORTE</v>
      </c>
      <c r="C757" t="str">
        <f>"35868226"</f>
        <v>35868226</v>
      </c>
      <c r="D757" s="9">
        <v>8226</v>
      </c>
      <c r="E757" s="12" t="s">
        <v>13</v>
      </c>
    </row>
    <row r="758" spans="1:5" x14ac:dyDescent="0.25">
      <c r="A758" s="5">
        <v>4</v>
      </c>
      <c r="B758" s="6" t="str">
        <f>"SUPORTE"</f>
        <v>SUPORTE</v>
      </c>
      <c r="C758" s="6" t="str">
        <f>"35868229"</f>
        <v>35868229</v>
      </c>
      <c r="D758" s="10">
        <v>8229</v>
      </c>
      <c r="E758" s="12" t="s">
        <v>13</v>
      </c>
    </row>
    <row r="759" spans="1:5" x14ac:dyDescent="0.25">
      <c r="A759" s="4">
        <v>4</v>
      </c>
      <c r="B759" t="str">
        <f>"SUPORTE"</f>
        <v>SUPORTE</v>
      </c>
      <c r="C759" t="str">
        <f>"35868230"</f>
        <v>35868230</v>
      </c>
      <c r="D759" s="9">
        <v>8230</v>
      </c>
      <c r="E759" s="12" t="s">
        <v>13</v>
      </c>
    </row>
    <row r="760" spans="1:5" x14ac:dyDescent="0.25">
      <c r="A760" s="5">
        <v>1</v>
      </c>
      <c r="B760" s="6" t="str">
        <f>"SUPORTE - 8239AX2"</f>
        <v>SUPORTE - 8239AX2</v>
      </c>
      <c r="C760" s="6" t="str">
        <f>"35868239AX2"</f>
        <v>35868239AX2</v>
      </c>
      <c r="D760" s="10">
        <v>8239</v>
      </c>
      <c r="E760" s="12" t="s">
        <v>13</v>
      </c>
    </row>
    <row r="761" spans="1:5" x14ac:dyDescent="0.25">
      <c r="A761" s="4">
        <v>1</v>
      </c>
      <c r="B761" t="str">
        <f>"SUPORTE DO BANCO DE RESISTENCIA MÁQ 1000 - 8248"</f>
        <v>SUPORTE DO BANCO DE RESISTENCIA MÁQ 1000 - 8248</v>
      </c>
      <c r="C761" t="str">
        <f>"35868248ZE0"</f>
        <v>35868248ZE0</v>
      </c>
      <c r="D761" s="9">
        <v>8248</v>
      </c>
      <c r="E761" s="12" t="s">
        <v>13</v>
      </c>
    </row>
    <row r="762" spans="1:5" x14ac:dyDescent="0.25">
      <c r="A762" s="5">
        <v>1</v>
      </c>
      <c r="B762" s="6" t="str">
        <f>"SUPORTE DO DUTO DISTRIBUIDOR - 8255"</f>
        <v>SUPORTE DO DUTO DISTRIBUIDOR - 8255</v>
      </c>
      <c r="C762" s="6" t="str">
        <f>"35868255"</f>
        <v>35868255</v>
      </c>
      <c r="D762" s="10">
        <v>8255</v>
      </c>
      <c r="E762" s="12" t="s">
        <v>13</v>
      </c>
    </row>
    <row r="763" spans="1:5" x14ac:dyDescent="0.25">
      <c r="A763" s="4">
        <v>2</v>
      </c>
      <c r="B763" t="str">
        <f>"SUPORTE DO VENTILADOR  MÁQ. 1000 - 8259"</f>
        <v>SUPORTE DO VENTILADOR  MÁQ. 1000 - 8259</v>
      </c>
      <c r="C763" t="str">
        <f>"35868259ZE0"</f>
        <v>35868259ZE0</v>
      </c>
      <c r="D763" s="9">
        <v>8259</v>
      </c>
      <c r="E763" s="12" t="s">
        <v>13</v>
      </c>
    </row>
    <row r="764" spans="1:5" x14ac:dyDescent="0.25">
      <c r="A764" s="5">
        <v>3</v>
      </c>
      <c r="B764" s="6" t="str">
        <f>"SUPORTE - 8260"</f>
        <v>SUPORTE - 8260</v>
      </c>
      <c r="C764" s="6" t="str">
        <f>"35868260"</f>
        <v>35868260</v>
      </c>
      <c r="D764" s="10">
        <v>8260</v>
      </c>
      <c r="E764" s="12" t="s">
        <v>13</v>
      </c>
    </row>
    <row r="765" spans="1:5" x14ac:dyDescent="0.25">
      <c r="A765" s="4">
        <v>1</v>
      </c>
      <c r="B765" t="str">
        <f>"SUPORTE DE AR SPLIT - 8269"</f>
        <v>SUPORTE DE AR SPLIT - 8269</v>
      </c>
      <c r="C765" t="str">
        <f>"35868269"</f>
        <v>35868269</v>
      </c>
      <c r="D765" s="9">
        <v>8269</v>
      </c>
      <c r="E765" s="12" t="s">
        <v>13</v>
      </c>
    </row>
    <row r="766" spans="1:5" x14ac:dyDescent="0.25">
      <c r="A766" s="5">
        <v>1</v>
      </c>
      <c r="B766" s="6" t="str">
        <f>"SUPORTE - 8270"</f>
        <v>SUPORTE - 8270</v>
      </c>
      <c r="C766" s="6" t="str">
        <f>"35868270"</f>
        <v>35868270</v>
      </c>
      <c r="D766" s="10">
        <v>8270</v>
      </c>
      <c r="E766" s="12" t="s">
        <v>13</v>
      </c>
    </row>
    <row r="767" spans="1:5" x14ac:dyDescent="0.25">
      <c r="A767" s="4">
        <v>1</v>
      </c>
      <c r="B767" t="str">
        <f>"SUPORTE - 8271"</f>
        <v>SUPORTE - 8271</v>
      </c>
      <c r="C767" t="str">
        <f>"35868271"</f>
        <v>35868271</v>
      </c>
      <c r="D767" s="9">
        <v>8271</v>
      </c>
      <c r="E767" s="12" t="s">
        <v>13</v>
      </c>
    </row>
    <row r="768" spans="1:5" x14ac:dyDescent="0.25">
      <c r="A768" s="5">
        <v>3</v>
      </c>
      <c r="B768" s="6" t="str">
        <f>"SUPORTE DAS CALHAS - 8279"</f>
        <v>SUPORTE DAS CALHAS - 8279</v>
      </c>
      <c r="C768" s="6" t="str">
        <f>"35868279"</f>
        <v>35868279</v>
      </c>
      <c r="D768" s="10">
        <v>8279</v>
      </c>
      <c r="E768" s="12" t="s">
        <v>13</v>
      </c>
    </row>
    <row r="769" spans="1:5" x14ac:dyDescent="0.25">
      <c r="A769" s="4">
        <v>1</v>
      </c>
      <c r="B769" t="str">
        <f>"SUPORTE MAQ 1000 - 8280ZE0"</f>
        <v>SUPORTE MAQ 1000 - 8280ZE0</v>
      </c>
      <c r="C769" t="str">
        <f>"35868280ZE0"</f>
        <v>35868280ZE0</v>
      </c>
      <c r="D769" s="9">
        <v>8280</v>
      </c>
      <c r="E769" s="12" t="s">
        <v>13</v>
      </c>
    </row>
    <row r="770" spans="1:5" x14ac:dyDescent="0.25">
      <c r="A770" s="5">
        <v>4</v>
      </c>
      <c r="B770" s="6" t="str">
        <f>"SUPORTE DAS CALHAS - 8283"</f>
        <v>SUPORTE DAS CALHAS - 8283</v>
      </c>
      <c r="C770" s="6" t="str">
        <f>"35868283"</f>
        <v>35868283</v>
      </c>
      <c r="D770" s="10">
        <v>8283</v>
      </c>
      <c r="E770" s="12" t="s">
        <v>13</v>
      </c>
    </row>
    <row r="771" spans="1:5" x14ac:dyDescent="0.25">
      <c r="A771" s="4">
        <v>1</v>
      </c>
      <c r="B771" t="str">
        <f>"SUPORTE - 8352"</f>
        <v>SUPORTE - 8352</v>
      </c>
      <c r="C771" t="str">
        <f>"35868352"</f>
        <v>35868352</v>
      </c>
      <c r="D771" s="9">
        <v>8352</v>
      </c>
      <c r="E771" s="12" t="s">
        <v>13</v>
      </c>
    </row>
    <row r="772" spans="1:5" x14ac:dyDescent="0.25">
      <c r="A772" s="5">
        <v>7</v>
      </c>
      <c r="B772" s="6" t="str">
        <f>"SUPORTE - 8379"</f>
        <v>SUPORTE - 8379</v>
      </c>
      <c r="C772" s="6" t="str">
        <f>"35868379"</f>
        <v>35868379</v>
      </c>
      <c r="D772" s="10">
        <v>8379</v>
      </c>
      <c r="E772" s="12" t="s">
        <v>13</v>
      </c>
    </row>
    <row r="773" spans="1:5" x14ac:dyDescent="0.25">
      <c r="A773" s="4">
        <v>1</v>
      </c>
      <c r="B773" t="str">
        <f>"SUPORTE - 8380"</f>
        <v>SUPORTE - 8380</v>
      </c>
      <c r="C773" t="str">
        <f>"35868380"</f>
        <v>35868380</v>
      </c>
      <c r="D773" s="9">
        <v>8380</v>
      </c>
      <c r="E773" s="12" t="s">
        <v>13</v>
      </c>
    </row>
    <row r="774" spans="1:5" x14ac:dyDescent="0.25">
      <c r="A774" s="5">
        <v>1</v>
      </c>
      <c r="B774" s="6" t="str">
        <f>"TAMPA - 2564"</f>
        <v>TAMPA - 2564</v>
      </c>
      <c r="C774" s="6" t="str">
        <f>"35952564"</f>
        <v>35952564</v>
      </c>
      <c r="D774" s="10">
        <v>2564</v>
      </c>
      <c r="E774" s="12" t="s">
        <v>13</v>
      </c>
    </row>
    <row r="775" spans="1:5" x14ac:dyDescent="0.25">
      <c r="A775" s="4">
        <v>12</v>
      </c>
      <c r="B775" t="str">
        <f>"TAMPA DO BALDE"</f>
        <v>TAMPA DO BALDE</v>
      </c>
      <c r="C775" t="str">
        <f>"35955127"</f>
        <v>35955127</v>
      </c>
      <c r="D775" s="9">
        <v>5127</v>
      </c>
      <c r="E775" s="12" t="s">
        <v>13</v>
      </c>
    </row>
    <row r="776" spans="1:5" x14ac:dyDescent="0.25">
      <c r="A776" s="5">
        <v>2</v>
      </c>
      <c r="B776" s="6" t="str">
        <f>"TAMPA CILINDRO BAIXO ATRITO - 5296"</f>
        <v>TAMPA CILINDRO BAIXO ATRITO - 5296</v>
      </c>
      <c r="C776" s="6" t="str">
        <f>"35955296"</f>
        <v>35955296</v>
      </c>
      <c r="D776" s="10">
        <v>5296</v>
      </c>
      <c r="E776" s="12" t="s">
        <v>13</v>
      </c>
    </row>
    <row r="777" spans="1:5" x14ac:dyDescent="0.25">
      <c r="A777" s="4">
        <v>2</v>
      </c>
      <c r="B777" t="str">
        <f>"TAMPA CILINDRO BAIXO ATRITO - 5297"</f>
        <v>TAMPA CILINDRO BAIXO ATRITO - 5297</v>
      </c>
      <c r="C777" t="str">
        <f>"35955297"</f>
        <v>35955297</v>
      </c>
      <c r="D777" s="9">
        <v>5297</v>
      </c>
      <c r="E777" s="12" t="s">
        <v>13</v>
      </c>
    </row>
    <row r="778" spans="1:5" x14ac:dyDescent="0.25">
      <c r="A778" s="5">
        <v>1</v>
      </c>
      <c r="B778" s="6" t="str">
        <f>"TAMPA - 5626"</f>
        <v>TAMPA - 5626</v>
      </c>
      <c r="C778" s="6" t="str">
        <f>"35955626"</f>
        <v>35955626</v>
      </c>
      <c r="D778" s="10">
        <v>5626</v>
      </c>
      <c r="E778" s="12" t="s">
        <v>13</v>
      </c>
    </row>
    <row r="779" spans="1:5" x14ac:dyDescent="0.25">
      <c r="A779" s="4">
        <v>1</v>
      </c>
      <c r="B779" t="str">
        <f>"TAMPA - 5626V02"</f>
        <v>TAMPA - 5626V02</v>
      </c>
      <c r="C779" t="str">
        <f>"35955626V02"</f>
        <v>35955626V02</v>
      </c>
      <c r="D779" s="9">
        <v>5626</v>
      </c>
      <c r="E779" s="12" t="s">
        <v>13</v>
      </c>
    </row>
    <row r="780" spans="1:5" x14ac:dyDescent="0.25">
      <c r="A780" s="5">
        <v>1</v>
      </c>
      <c r="B780" s="6" t="str">
        <f>"TAMPA - 5627"</f>
        <v>TAMPA - 5627</v>
      </c>
      <c r="C780" s="6" t="str">
        <f>"35955627"</f>
        <v>35955627</v>
      </c>
      <c r="D780" s="10">
        <v>5627</v>
      </c>
      <c r="E780" s="12" t="s">
        <v>13</v>
      </c>
    </row>
    <row r="781" spans="1:5" x14ac:dyDescent="0.25">
      <c r="A781" s="4">
        <v>1</v>
      </c>
      <c r="B781" t="str">
        <f>"TAMPA - 5627V02"</f>
        <v>TAMPA - 5627V02</v>
      </c>
      <c r="C781" t="str">
        <f>"35955627V02"</f>
        <v>35955627V02</v>
      </c>
      <c r="D781" s="9">
        <v>5627</v>
      </c>
      <c r="E781" s="12" t="s">
        <v>13</v>
      </c>
    </row>
    <row r="782" spans="1:5" x14ac:dyDescent="0.25">
      <c r="A782" s="5">
        <v>16</v>
      </c>
      <c r="B782" s="6" t="str">
        <f>"TAMPA - 5767V01"</f>
        <v>TAMPA - 5767V01</v>
      </c>
      <c r="C782" s="6" t="str">
        <f>"35955767V01"</f>
        <v>35955767V01</v>
      </c>
      <c r="D782" s="10">
        <v>5767</v>
      </c>
      <c r="E782" s="12" t="s">
        <v>13</v>
      </c>
    </row>
    <row r="783" spans="1:5" x14ac:dyDescent="0.25">
      <c r="A783" s="4">
        <v>16</v>
      </c>
      <c r="B783" t="str">
        <f>"TAMPA - 5972"</f>
        <v>TAMPA - 5972</v>
      </c>
      <c r="C783" t="str">
        <f>"35955972"</f>
        <v>35955972</v>
      </c>
      <c r="D783" s="9">
        <v>5972</v>
      </c>
      <c r="E783" s="12" t="s">
        <v>13</v>
      </c>
    </row>
    <row r="784" spans="1:5" x14ac:dyDescent="0.25">
      <c r="A784" s="5">
        <v>3</v>
      </c>
      <c r="B784" s="6" t="str">
        <f>"TAMPA - 8023AX4"</f>
        <v>TAMPA - 8023AX4</v>
      </c>
      <c r="C784" s="6" t="str">
        <f>"35958023AX4"</f>
        <v>35958023AX4</v>
      </c>
      <c r="D784" s="10">
        <v>8023</v>
      </c>
      <c r="E784" s="12" t="s">
        <v>13</v>
      </c>
    </row>
    <row r="785" spans="1:5" x14ac:dyDescent="0.25">
      <c r="A785" s="4">
        <v>1</v>
      </c>
      <c r="B785" t="str">
        <f>"TAMPA - 8153"</f>
        <v>TAMPA - 8153</v>
      </c>
      <c r="C785" t="str">
        <f>"35958153"</f>
        <v>35958153</v>
      </c>
      <c r="D785" s="9">
        <v>8153</v>
      </c>
      <c r="E785" s="12" t="s">
        <v>13</v>
      </c>
    </row>
    <row r="786" spans="1:5" x14ac:dyDescent="0.25">
      <c r="A786" s="5">
        <v>1</v>
      </c>
      <c r="B786" s="6" t="str">
        <f>"TAMPA - 8156"</f>
        <v>TAMPA - 8156</v>
      </c>
      <c r="C786" s="6" t="str">
        <f>"35958156"</f>
        <v>35958156</v>
      </c>
      <c r="D786" s="10">
        <v>8156</v>
      </c>
      <c r="E786" s="12" t="s">
        <v>13</v>
      </c>
    </row>
    <row r="787" spans="1:5" x14ac:dyDescent="0.25">
      <c r="A787" s="4">
        <v>1</v>
      </c>
      <c r="B787" t="str">
        <f>"TAMPA - 8157"</f>
        <v>TAMPA - 8157</v>
      </c>
      <c r="C787" t="str">
        <f>"35958157"</f>
        <v>35958157</v>
      </c>
      <c r="D787" s="9">
        <v>8157</v>
      </c>
      <c r="E787" s="12" t="s">
        <v>13</v>
      </c>
    </row>
    <row r="788" spans="1:5" x14ac:dyDescent="0.25">
      <c r="A788" s="5">
        <v>3</v>
      </c>
      <c r="B788" s="6" t="str">
        <f>"TAMPA - 8242"</f>
        <v>TAMPA - 8242</v>
      </c>
      <c r="C788" s="6" t="str">
        <f>"35958242"</f>
        <v>35958242</v>
      </c>
      <c r="D788" s="10">
        <v>8242</v>
      </c>
      <c r="E788" s="12" t="s">
        <v>13</v>
      </c>
    </row>
    <row r="789" spans="1:5" x14ac:dyDescent="0.25">
      <c r="A789" s="4">
        <v>1</v>
      </c>
      <c r="B789" t="str">
        <f>"TAMPA TRASEIRA - 8356"</f>
        <v>TAMPA TRASEIRA - 8356</v>
      </c>
      <c r="C789" t="str">
        <f>"35958356"</f>
        <v>35958356</v>
      </c>
      <c r="D789" s="9">
        <v>8356</v>
      </c>
      <c r="E789" s="12" t="s">
        <v>13</v>
      </c>
    </row>
    <row r="790" spans="1:5" x14ac:dyDescent="0.25">
      <c r="A790" s="5">
        <v>2</v>
      </c>
      <c r="B790" s="6" t="str">
        <f>"TAMPA DA SOLEIRA - 8357"</f>
        <v>TAMPA DA SOLEIRA - 8357</v>
      </c>
      <c r="C790" s="6" t="str">
        <f>"35958357"</f>
        <v>35958357</v>
      </c>
      <c r="D790" s="10">
        <v>8357</v>
      </c>
      <c r="E790" s="12" t="s">
        <v>13</v>
      </c>
    </row>
    <row r="791" spans="1:5" x14ac:dyDescent="0.25">
      <c r="A791" s="4">
        <v>1</v>
      </c>
      <c r="B791" t="str">
        <f>"TETO - MAQ. 1000 - 8277ZE0"</f>
        <v>TETO - MAQ. 1000 - 8277ZE0</v>
      </c>
      <c r="C791" t="str">
        <f>"36068277ZE0"</f>
        <v>36068277ZE0</v>
      </c>
      <c r="D791" s="9">
        <v>8277</v>
      </c>
      <c r="E791" s="12" t="s">
        <v>13</v>
      </c>
    </row>
    <row r="792" spans="1:5" x14ac:dyDescent="0.25">
      <c r="A792" s="5">
        <v>1</v>
      </c>
      <c r="B792" s="6" t="str">
        <f>"TETO - MAQ. 1000 - 8281ZE0"</f>
        <v>TETO - MAQ. 1000 - 8281ZE0</v>
      </c>
      <c r="C792" s="6" t="str">
        <f>"36068281ZE0"</f>
        <v>36068281ZE0</v>
      </c>
      <c r="D792" s="10">
        <v>8281</v>
      </c>
      <c r="E792" s="12" t="s">
        <v>13</v>
      </c>
    </row>
    <row r="793" spans="1:5" x14ac:dyDescent="0.25">
      <c r="A793" s="4">
        <v>7</v>
      </c>
      <c r="B793" t="str">
        <f>"TIRANTE  A = 1517"</f>
        <v>TIRANTE  A = 1517</v>
      </c>
      <c r="C793" t="str">
        <f>"36111909BE0"</f>
        <v>36111909BE0</v>
      </c>
      <c r="D793" s="9">
        <v>1909</v>
      </c>
      <c r="E793" s="12" t="s">
        <v>13</v>
      </c>
    </row>
    <row r="794" spans="1:5" x14ac:dyDescent="0.25">
      <c r="A794" s="5">
        <v>3</v>
      </c>
      <c r="B794" s="6" t="str">
        <f>"TIRANTE  A = 1717 - 1909"</f>
        <v>TIRANTE  A = 1717 - 1909</v>
      </c>
      <c r="C794" s="6" t="str">
        <f>"36111909BG0"</f>
        <v>36111909BG0</v>
      </c>
      <c r="D794" s="10">
        <v>1909</v>
      </c>
      <c r="E794" s="12" t="s">
        <v>13</v>
      </c>
    </row>
    <row r="795" spans="1:5" x14ac:dyDescent="0.25">
      <c r="A795" s="4">
        <v>4</v>
      </c>
      <c r="B795" t="str">
        <f>"TIRANTE  A = 1330"</f>
        <v>TIRANTE  A = 1330</v>
      </c>
      <c r="C795" t="str">
        <f>"36111939BE0"</f>
        <v>36111939BE0</v>
      </c>
      <c r="D795" s="9">
        <v>1939</v>
      </c>
      <c r="E795" s="12" t="s">
        <v>13</v>
      </c>
    </row>
    <row r="796" spans="1:5" x14ac:dyDescent="0.25">
      <c r="A796" s="5">
        <v>1</v>
      </c>
      <c r="B796" s="6" t="str">
        <f>"TIRANTE  MAQ. = 1000"</f>
        <v>TIRANTE  MAQ. = 1000</v>
      </c>
      <c r="C796" s="6" t="str">
        <f>"36115009BE0"</f>
        <v>36115009BE0</v>
      </c>
      <c r="D796" s="10">
        <v>5009</v>
      </c>
      <c r="E796" s="12" t="s">
        <v>13</v>
      </c>
    </row>
    <row r="797" spans="1:5" x14ac:dyDescent="0.25">
      <c r="A797" s="4">
        <v>8</v>
      </c>
      <c r="B797" t="str">
        <f>"TIRANTE CILINDRO BAIXO ATRITO"</f>
        <v>TIRANTE CILINDRO BAIXO ATRITO</v>
      </c>
      <c r="C797" t="str">
        <f>"36115294"</f>
        <v>36115294</v>
      </c>
      <c r="D797" s="9">
        <v>5294</v>
      </c>
      <c r="E797" s="12" t="s">
        <v>13</v>
      </c>
    </row>
    <row r="798" spans="1:5" x14ac:dyDescent="0.25">
      <c r="A798" s="5">
        <v>1</v>
      </c>
      <c r="B798" s="6" t="str">
        <f>"TIRANTE MAQ 1000"</f>
        <v>TIRANTE MAQ 1000</v>
      </c>
      <c r="C798" s="6" t="str">
        <f>"36115702BE0"</f>
        <v>36115702BE0</v>
      </c>
      <c r="D798" s="10">
        <v>5702</v>
      </c>
      <c r="E798" s="12" t="s">
        <v>13</v>
      </c>
    </row>
    <row r="799" spans="1:5" x14ac:dyDescent="0.25">
      <c r="A799" s="4">
        <v>2</v>
      </c>
      <c r="B799" t="str">
        <f>"TIRANTE - 6272 MAQ 1000"</f>
        <v>TIRANTE - 6272 MAQ 1000</v>
      </c>
      <c r="C799" t="str">
        <f>"36116272BE0"</f>
        <v>36116272BE0</v>
      </c>
      <c r="D799" s="9">
        <v>6272</v>
      </c>
      <c r="E799" s="12" t="s">
        <v>13</v>
      </c>
    </row>
    <row r="800" spans="1:5" x14ac:dyDescent="0.25">
      <c r="A800" s="5">
        <v>6</v>
      </c>
      <c r="B800" s="6" t="str">
        <f>"TIRANTE  MAQ. = 1000 - 8016"</f>
        <v>TIRANTE  MAQ. = 1000 - 8016</v>
      </c>
      <c r="C800" s="6" t="str">
        <f>"36118016ZE0"</f>
        <v>36118016ZE0</v>
      </c>
      <c r="D800" s="10">
        <v>8016</v>
      </c>
      <c r="E800" s="12" t="s">
        <v>13</v>
      </c>
    </row>
    <row r="801" spans="1:5" x14ac:dyDescent="0.25">
      <c r="A801" s="4">
        <v>2</v>
      </c>
      <c r="B801" t="str">
        <f>"TIRANTE - 8023"</f>
        <v>TIRANTE - 8023</v>
      </c>
      <c r="C801" t="str">
        <f>"36118023AX1"</f>
        <v>36118023AX1</v>
      </c>
      <c r="D801" s="9">
        <v>8023</v>
      </c>
      <c r="E801" s="12" t="s">
        <v>13</v>
      </c>
    </row>
    <row r="802" spans="1:5" x14ac:dyDescent="0.25">
      <c r="A802" s="5">
        <v>5</v>
      </c>
      <c r="B802" s="6" t="str">
        <f>"TIRANTE  MAQ. = 1000 - 8099"</f>
        <v>TIRANTE  MAQ. = 1000 - 8099</v>
      </c>
      <c r="C802" s="6" t="str">
        <f>"36118099ZE0"</f>
        <v>36118099ZE0</v>
      </c>
      <c r="D802" s="10">
        <v>8099</v>
      </c>
      <c r="E802" s="12" t="s">
        <v>13</v>
      </c>
    </row>
    <row r="803" spans="1:5" x14ac:dyDescent="0.25">
      <c r="A803" s="4">
        <v>3</v>
      </c>
      <c r="B803" t="str">
        <f>"TIRANTE MÁQ. 1000 - 8100"</f>
        <v>TIRANTE MÁQ. 1000 - 8100</v>
      </c>
      <c r="C803" t="str">
        <f>"36118100ZE0"</f>
        <v>36118100ZE0</v>
      </c>
      <c r="D803" s="9">
        <v>8100</v>
      </c>
      <c r="E803" s="12" t="s">
        <v>13</v>
      </c>
    </row>
    <row r="804" spans="1:5" x14ac:dyDescent="0.25">
      <c r="A804" s="5">
        <v>6</v>
      </c>
      <c r="B804" s="6" t="str">
        <f>"TIRANTE  MAQ. = 1000 - 8102"</f>
        <v>TIRANTE  MAQ. = 1000 - 8102</v>
      </c>
      <c r="C804" s="6" t="str">
        <f>"36118102ZE0"</f>
        <v>36118102ZE0</v>
      </c>
      <c r="D804" s="10">
        <v>8102</v>
      </c>
      <c r="E804" s="12" t="s">
        <v>13</v>
      </c>
    </row>
    <row r="805" spans="1:5" x14ac:dyDescent="0.25">
      <c r="A805" s="4">
        <v>8</v>
      </c>
      <c r="B805" t="str">
        <f>"TRAVA - 1912"</f>
        <v>TRAVA - 1912</v>
      </c>
      <c r="C805" t="str">
        <f>"36181912"</f>
        <v>36181912</v>
      </c>
      <c r="D805" s="9">
        <v>1912</v>
      </c>
      <c r="E805" s="12" t="s">
        <v>13</v>
      </c>
    </row>
    <row r="806" spans="1:5" x14ac:dyDescent="0.25">
      <c r="A806" s="5">
        <v>6</v>
      </c>
      <c r="B806" s="6" t="str">
        <f>"TRAVA DE LATAO"</f>
        <v>TRAVA DE LATAO</v>
      </c>
      <c r="C806" s="6" t="str">
        <f>"36182687"</f>
        <v>36182687</v>
      </c>
      <c r="D806" s="10">
        <v>2687</v>
      </c>
      <c r="E806" s="12" t="s">
        <v>13</v>
      </c>
    </row>
    <row r="807" spans="1:5" x14ac:dyDescent="0.25">
      <c r="A807" s="4">
        <v>2</v>
      </c>
      <c r="B807" t="str">
        <f>"TRAVESSA DA PROTEÇÃO - MAQ. 1200 - 2074"</f>
        <v>TRAVESSA DA PROTEÇÃO - MAQ. 1200 - 2074</v>
      </c>
      <c r="C807" t="str">
        <f>"36192074BG0"</f>
        <v>36192074BG0</v>
      </c>
      <c r="D807" s="9">
        <v>2074</v>
      </c>
      <c r="E807" s="12" t="s">
        <v>13</v>
      </c>
    </row>
    <row r="808" spans="1:5" x14ac:dyDescent="0.25">
      <c r="A808" s="5">
        <v>1</v>
      </c>
      <c r="B808" s="6" t="str">
        <f>"TRAVESSA DA PROTEÇÃO - MAQ. 1200 - 2077"</f>
        <v>TRAVESSA DA PROTEÇÃO - MAQ. 1200 - 2077</v>
      </c>
      <c r="C808" s="6" t="str">
        <f>"36192077BG0"</f>
        <v>36192077BG0</v>
      </c>
      <c r="D808" s="10">
        <v>2077</v>
      </c>
      <c r="E808" s="12" t="s">
        <v>13</v>
      </c>
    </row>
    <row r="809" spans="1:5" x14ac:dyDescent="0.25">
      <c r="A809" s="4">
        <v>3</v>
      </c>
      <c r="B809" t="str">
        <f>"TRAVESSA  MÁQ. 1000 (2ª A 4ª CORES) - 8075ZE0"</f>
        <v>TRAVESSA  MÁQ. 1000 (2ª A 4ª CORES) - 8075ZE0</v>
      </c>
      <c r="C809" t="str">
        <f>"36198075ZE0"</f>
        <v>36198075ZE0</v>
      </c>
      <c r="D809" s="9">
        <v>8075</v>
      </c>
      <c r="E809" s="12" t="s">
        <v>13</v>
      </c>
    </row>
    <row r="810" spans="1:5" x14ac:dyDescent="0.25">
      <c r="A810" s="5">
        <v>3</v>
      </c>
      <c r="B810" s="6" t="str">
        <f>"TRAVESSA  MÁQ. 1000 (5ª A 7ª CORES) - 8076ZE0"</f>
        <v>TRAVESSA  MÁQ. 1000 (5ª A 7ª CORES) - 8076ZE0</v>
      </c>
      <c r="C810" s="6" t="str">
        <f>"36198076ZE0"</f>
        <v>36198076ZE0</v>
      </c>
      <c r="D810" s="10">
        <v>8076</v>
      </c>
      <c r="E810" s="12" t="s">
        <v>13</v>
      </c>
    </row>
    <row r="811" spans="1:5" x14ac:dyDescent="0.25">
      <c r="A811" s="4">
        <v>1</v>
      </c>
      <c r="B811" t="str">
        <f>"TRAVESSA  MÁQ. 1000 (1ª COR) - 8110ZE0"</f>
        <v>TRAVESSA  MÁQ. 1000 (1ª COR) - 8110ZE0</v>
      </c>
      <c r="C811" t="str">
        <f>"36198110ZE0"</f>
        <v>36198110ZE0</v>
      </c>
      <c r="D811" s="9">
        <v>8110</v>
      </c>
      <c r="E811" s="12" t="s">
        <v>13</v>
      </c>
    </row>
    <row r="812" spans="1:5" x14ac:dyDescent="0.25">
      <c r="A812" s="5">
        <v>1</v>
      </c>
      <c r="B812" s="6" t="str">
        <f>"TRAVESSA  MÁQ. 1000 (8ª COR) - 8111ZE0"</f>
        <v>TRAVESSA  MÁQ. 1000 (8ª COR) - 8111ZE0</v>
      </c>
      <c r="C812" s="6" t="str">
        <f>"36198111ZE0"</f>
        <v>36198111ZE0</v>
      </c>
      <c r="D812" s="10">
        <v>8111</v>
      </c>
      <c r="E812" s="12" t="s">
        <v>13</v>
      </c>
    </row>
    <row r="813" spans="1:5" x14ac:dyDescent="0.25">
      <c r="A813" s="4">
        <v>1</v>
      </c>
      <c r="B813" t="str">
        <f>"TRAVESSA DIREITA  MÁQ. 1000 - 8238"</f>
        <v>TRAVESSA DIREITA  MÁQ. 1000 - 8238</v>
      </c>
      <c r="C813" t="str">
        <f>"36198238ZE0V01"</f>
        <v>36198238ZE0V01</v>
      </c>
      <c r="D813" s="9">
        <v>8238</v>
      </c>
      <c r="E813" s="12" t="s">
        <v>13</v>
      </c>
    </row>
    <row r="814" spans="1:5" x14ac:dyDescent="0.25">
      <c r="A814" s="5">
        <v>1</v>
      </c>
      <c r="B814" s="6" t="str">
        <f>"TRAVESSA ESQUERDA  MÁQ. 1000 - 8238"</f>
        <v>TRAVESSA ESQUERDA  MÁQ. 1000 - 8238</v>
      </c>
      <c r="C814" s="6" t="str">
        <f>"36198238ZE0V02"</f>
        <v>36198238ZE0V02</v>
      </c>
      <c r="D814" s="10">
        <v>8238</v>
      </c>
      <c r="E814" s="12" t="s">
        <v>13</v>
      </c>
    </row>
    <row r="815" spans="1:5" x14ac:dyDescent="0.25">
      <c r="A815" s="4">
        <v>12</v>
      </c>
      <c r="B815" t="str">
        <f>"TUBO MAGNETICO"</f>
        <v>TUBO MAGNETICO</v>
      </c>
      <c r="C815" t="str">
        <f>"36310602"</f>
        <v>36310602</v>
      </c>
      <c r="D815" s="9">
        <v>602</v>
      </c>
      <c r="E815" s="12" t="s">
        <v>13</v>
      </c>
    </row>
    <row r="816" spans="1:5" x14ac:dyDescent="0.25">
      <c r="A816" s="5">
        <v>12</v>
      </c>
      <c r="B816" s="6" t="str">
        <f>"TUBO DE SUCCAO"</f>
        <v>TUBO DE SUCCAO</v>
      </c>
      <c r="C816" s="6" t="str">
        <f>"36310690V04"</f>
        <v>36310690V04</v>
      </c>
      <c r="D816" s="10">
        <v>690</v>
      </c>
      <c r="E816" s="12" t="s">
        <v>13</v>
      </c>
    </row>
    <row r="817" spans="1:5" x14ac:dyDescent="0.25">
      <c r="A817" s="4">
        <v>14</v>
      </c>
      <c r="B817" t="str">
        <f>"TUBO - 0845"</f>
        <v>TUBO - 0845</v>
      </c>
      <c r="C817" t="str">
        <f>"36310845"</f>
        <v>36310845</v>
      </c>
      <c r="D817" s="9">
        <v>845</v>
      </c>
      <c r="E817" s="12" t="s">
        <v>13</v>
      </c>
    </row>
    <row r="818" spans="1:5" x14ac:dyDescent="0.25">
      <c r="A818" s="5">
        <v>4</v>
      </c>
      <c r="B818" s="6" t="str">
        <f>"TUBO - 1927"</f>
        <v>TUBO - 1927</v>
      </c>
      <c r="C818" s="6" t="str">
        <f>"36311927"</f>
        <v>36311927</v>
      </c>
      <c r="D818" s="10">
        <v>1927</v>
      </c>
      <c r="E818" s="12" t="s">
        <v>13</v>
      </c>
    </row>
    <row r="819" spans="1:5" x14ac:dyDescent="0.25">
      <c r="A819" s="4">
        <v>7</v>
      </c>
      <c r="B819" t="str">
        <f>"TUBO MAQ. 1000 mm"</f>
        <v>TUBO MAQ. 1000 mm</v>
      </c>
      <c r="C819" t="str">
        <f>"36311988BE0"</f>
        <v>36311988BE0</v>
      </c>
      <c r="D819" s="9">
        <v>1988</v>
      </c>
      <c r="E819" s="12" t="s">
        <v>13</v>
      </c>
    </row>
    <row r="820" spans="1:5" x14ac:dyDescent="0.25">
      <c r="A820" s="5">
        <v>3</v>
      </c>
      <c r="B820" s="6" t="str">
        <f>"TUBO MAQ. 1200 mm - 1988"</f>
        <v>TUBO MAQ. 1200 mm - 1988</v>
      </c>
      <c r="C820" s="6" t="str">
        <f>"36311988BG0"</f>
        <v>36311988BG0</v>
      </c>
      <c r="D820" s="10">
        <v>1988</v>
      </c>
      <c r="E820" s="12" t="s">
        <v>13</v>
      </c>
    </row>
    <row r="821" spans="1:5" x14ac:dyDescent="0.25">
      <c r="A821" s="4">
        <v>2</v>
      </c>
      <c r="B821" t="str">
        <f>"TUBO - 1996"</f>
        <v>TUBO - 1996</v>
      </c>
      <c r="C821" t="str">
        <f>"36311996"</f>
        <v>36311996</v>
      </c>
      <c r="D821" s="9">
        <v>1996</v>
      </c>
      <c r="E821" s="12" t="s">
        <v>13</v>
      </c>
    </row>
    <row r="822" spans="1:5" x14ac:dyDescent="0.25">
      <c r="A822" s="5">
        <v>2</v>
      </c>
      <c r="B822" s="6" t="str">
        <f>"TUBO - 1996F9"</f>
        <v>TUBO - 1996F9</v>
      </c>
      <c r="C822" s="6" t="str">
        <f>"36311996F9"</f>
        <v>36311996F9</v>
      </c>
      <c r="D822" s="10">
        <v>1996</v>
      </c>
      <c r="E822" s="12" t="s">
        <v>13</v>
      </c>
    </row>
    <row r="823" spans="1:5" x14ac:dyDescent="0.25">
      <c r="A823" s="4">
        <v>3</v>
      </c>
      <c r="B823" t="str">
        <f>"TUBO PITOT"</f>
        <v>TUBO PITOT</v>
      </c>
      <c r="C823" t="str">
        <f>"36312807"</f>
        <v>36312807</v>
      </c>
      <c r="D823" s="9">
        <v>2807</v>
      </c>
      <c r="E823" s="12" t="s">
        <v>13</v>
      </c>
    </row>
    <row r="824" spans="1:5" x14ac:dyDescent="0.25">
      <c r="A824" s="5">
        <v>2</v>
      </c>
      <c r="B824" s="6" t="str">
        <f>"TUBO DO ROLETE LISO MAQ. 1000"</f>
        <v>TUBO DO ROLETE LISO MAQ. 1000</v>
      </c>
      <c r="C824" s="6" t="str">
        <f>"36314038BE0"</f>
        <v>36314038BE0</v>
      </c>
      <c r="D824" s="10">
        <v>4038</v>
      </c>
      <c r="E824" s="12" t="s">
        <v>13</v>
      </c>
    </row>
    <row r="825" spans="1:5" x14ac:dyDescent="0.25">
      <c r="A825" s="4">
        <v>9</v>
      </c>
      <c r="B825" t="str">
        <f>"TUBO PORTA CAMISA"</f>
        <v>TUBO PORTA CAMISA</v>
      </c>
      <c r="C825" t="str">
        <f>"36315125"</f>
        <v>36315125</v>
      </c>
      <c r="D825" s="9">
        <v>5125</v>
      </c>
      <c r="E825" s="12" t="s">
        <v>13</v>
      </c>
    </row>
    <row r="826" spans="1:5" x14ac:dyDescent="0.25">
      <c r="A826" s="5">
        <v>12</v>
      </c>
      <c r="B826" s="6" t="str">
        <f>"TUBO DO RETORNO - 5185"</f>
        <v>TUBO DO RETORNO - 5185</v>
      </c>
      <c r="C826" s="6" t="str">
        <f>"36315185"</f>
        <v>36315185</v>
      </c>
      <c r="D826" s="10">
        <v>5185</v>
      </c>
      <c r="E826" s="12" t="s">
        <v>13</v>
      </c>
    </row>
    <row r="827" spans="1:5" x14ac:dyDescent="0.25">
      <c r="A827" s="4">
        <v>8</v>
      </c>
      <c r="B827" t="str">
        <f>"TUBO ACUMULADOR"</f>
        <v>TUBO ACUMULADOR</v>
      </c>
      <c r="C827" t="str">
        <f>"36315374"</f>
        <v>36315374</v>
      </c>
      <c r="D827" s="9">
        <v>5374</v>
      </c>
      <c r="E827" s="12" t="s">
        <v>13</v>
      </c>
    </row>
    <row r="828" spans="1:5" x14ac:dyDescent="0.25">
      <c r="A828" s="5">
        <v>8</v>
      </c>
      <c r="B828" s="6" t="str">
        <f>"TUBO - 5615"</f>
        <v>TUBO - 5615</v>
      </c>
      <c r="C828" s="6" t="str">
        <f>"36315615"</f>
        <v>36315615</v>
      </c>
      <c r="D828" s="10">
        <v>5615</v>
      </c>
      <c r="E828" s="12" t="s">
        <v>13</v>
      </c>
    </row>
    <row r="829" spans="1:5" x14ac:dyDescent="0.25">
      <c r="A829" s="4">
        <v>1</v>
      </c>
      <c r="B829" t="str">
        <f>"TUBO - 5999"</f>
        <v>TUBO - 5999</v>
      </c>
      <c r="C829" t="str">
        <f>"36315999"</f>
        <v>36315999</v>
      </c>
      <c r="D829" s="9">
        <v>5999</v>
      </c>
      <c r="E829" s="12" t="s">
        <v>13</v>
      </c>
    </row>
    <row r="830" spans="1:5" x14ac:dyDescent="0.25">
      <c r="A830" s="5">
        <v>6</v>
      </c>
      <c r="B830" s="6" t="str">
        <f>"TUBO DO PRESSOSTATO - 6323"</f>
        <v>TUBO DO PRESSOSTATO - 6323</v>
      </c>
      <c r="C830" s="6" t="str">
        <f>"36316323"</f>
        <v>36316323</v>
      </c>
      <c r="D830" s="10">
        <v>6323</v>
      </c>
      <c r="E830" s="12" t="s">
        <v>13</v>
      </c>
    </row>
    <row r="831" spans="1:5" x14ac:dyDescent="0.25">
      <c r="A831" s="4">
        <v>6</v>
      </c>
      <c r="B831" t="str">
        <f>"TUBO - 8094V01"</f>
        <v>TUBO - 8094V01</v>
      </c>
      <c r="C831" t="str">
        <f>"36318094V01"</f>
        <v>36318094V01</v>
      </c>
      <c r="D831" s="9">
        <v>8094</v>
      </c>
      <c r="E831" s="12" t="s">
        <v>13</v>
      </c>
    </row>
    <row r="832" spans="1:5" x14ac:dyDescent="0.25">
      <c r="A832" s="5">
        <v>2</v>
      </c>
      <c r="B832" s="6" t="str">
        <f>"TUBO - 8094V02"</f>
        <v>TUBO - 8094V02</v>
      </c>
      <c r="C832" s="6" t="str">
        <f>"36318094V02"</f>
        <v>36318094V02</v>
      </c>
      <c r="D832" s="10">
        <v>8094</v>
      </c>
      <c r="E832" s="12" t="s">
        <v>13</v>
      </c>
    </row>
    <row r="833" spans="1:5" x14ac:dyDescent="0.25">
      <c r="A833" s="4">
        <v>1</v>
      </c>
      <c r="B833" t="str">
        <f>"TUBO DO ROLETE MAQ. 1000 - 8103"</f>
        <v>TUBO DO ROLETE MAQ. 1000 - 8103</v>
      </c>
      <c r="C833" t="str">
        <f>"36318103ZE0"</f>
        <v>36318103ZE0</v>
      </c>
      <c r="D833" s="9">
        <v>8103</v>
      </c>
      <c r="E833" s="12" t="s">
        <v>13</v>
      </c>
    </row>
    <row r="834" spans="1:5" x14ac:dyDescent="0.25">
      <c r="A834" s="5">
        <v>5</v>
      </c>
      <c r="B834" s="6" t="str">
        <f>"TUBO MAQ. 1000 mm - 8109"</f>
        <v>TUBO MAQ. 1000 mm - 8109</v>
      </c>
      <c r="C834" s="6" t="str">
        <f>"36318109ZE0"</f>
        <v>36318109ZE0</v>
      </c>
      <c r="D834" s="10">
        <v>8109</v>
      </c>
      <c r="E834" s="12" t="s">
        <v>13</v>
      </c>
    </row>
    <row r="835" spans="1:5" x14ac:dyDescent="0.25">
      <c r="A835" s="4">
        <v>6</v>
      </c>
      <c r="B835" t="str">
        <f>"TUBO MAQ. 1000 mm - 8116"</f>
        <v>TUBO MAQ. 1000 mm - 8116</v>
      </c>
      <c r="C835" t="str">
        <f>"36318116ZE0"</f>
        <v>36318116ZE0</v>
      </c>
      <c r="D835" s="9">
        <v>8116</v>
      </c>
      <c r="E835" s="12" t="s">
        <v>13</v>
      </c>
    </row>
    <row r="836" spans="1:5" x14ac:dyDescent="0.25">
      <c r="A836" s="5">
        <v>1</v>
      </c>
      <c r="B836" s="6" t="str">
        <f>"TUBO DE REFRIGERAÇÃO - 8158"</f>
        <v>TUBO DE REFRIGERAÇÃO - 8158</v>
      </c>
      <c r="C836" s="6" t="str">
        <f>"36318158"</f>
        <v>36318158</v>
      </c>
      <c r="D836" s="10">
        <v>8158</v>
      </c>
      <c r="E836" s="12" t="s">
        <v>13</v>
      </c>
    </row>
    <row r="837" spans="1:5" x14ac:dyDescent="0.25">
      <c r="A837" s="4">
        <v>16</v>
      </c>
      <c r="B837" t="str">
        <f>"VALVULA 3 VIAS MONTAGEM ""B"" (90º)"</f>
        <v>VALVULA 3 VIAS MONTAGEM "B" (90º)</v>
      </c>
      <c r="C837" t="str">
        <f>"36395614V02"</f>
        <v>36395614V02</v>
      </c>
      <c r="D837" s="9">
        <v>5614</v>
      </c>
      <c r="E837" s="12" t="s">
        <v>13</v>
      </c>
    </row>
    <row r="838" spans="1:5" x14ac:dyDescent="0.25">
      <c r="A838" s="5">
        <v>8</v>
      </c>
      <c r="B838" s="6" t="str">
        <f>"VALVULA 3 VIAS MONTAGEM ""C"" (180º)"</f>
        <v>VALVULA 3 VIAS MONTAGEM "C" (180º)</v>
      </c>
      <c r="C838" s="6" t="str">
        <f>"36395614V03"</f>
        <v>36395614V03</v>
      </c>
      <c r="D838" s="10">
        <v>5614</v>
      </c>
      <c r="E838" s="12" t="s">
        <v>13</v>
      </c>
    </row>
    <row r="839" spans="1:5" x14ac:dyDescent="0.25">
      <c r="A839" s="4">
        <v>16</v>
      </c>
      <c r="B839" t="str">
        <f>"VALVULA 3 VIAS MONTAGEM ""D"" (270º)"</f>
        <v>VALVULA 3 VIAS MONTAGEM "D" (270º)</v>
      </c>
      <c r="C839" t="str">
        <f>"36395614V04"</f>
        <v>36395614V04</v>
      </c>
      <c r="D839" s="9">
        <v>5614</v>
      </c>
      <c r="E839" s="12" t="s">
        <v>13</v>
      </c>
    </row>
    <row r="840" spans="1:5" x14ac:dyDescent="0.25">
      <c r="A840" s="5">
        <v>100</v>
      </c>
      <c r="B840" s="6" t="str">
        <f>"VEDADOR DOCTOR BLADE ( branca)"</f>
        <v>VEDADOR DOCTOR BLADE ( branca)</v>
      </c>
      <c r="C840" s="6" t="str">
        <f>"36401738"</f>
        <v>36401738</v>
      </c>
      <c r="D840" s="10">
        <v>1738</v>
      </c>
      <c r="E840" s="12" t="s">
        <v>13</v>
      </c>
    </row>
    <row r="841" spans="1:5" x14ac:dyDescent="0.25">
      <c r="A841" s="4">
        <v>1</v>
      </c>
      <c r="B841" t="str">
        <f>"VIDRO CRISTAL TEMP. ESP. 8 MM - 1095  X 1395 MM COD. 3647219"</f>
        <v>VIDRO CRISTAL TEMP. ESP. 8 MM - 1095  X 1395 MM COD. 3647219</v>
      </c>
      <c r="C841" t="str">
        <f>"36472190"</f>
        <v>36472190</v>
      </c>
      <c r="D841" s="9">
        <v>2190</v>
      </c>
      <c r="E841" s="12" t="s">
        <v>13</v>
      </c>
    </row>
    <row r="842" spans="1:5" x14ac:dyDescent="0.25">
      <c r="A842" s="5">
        <v>1</v>
      </c>
      <c r="B842" s="6" t="str">
        <f>"VIDRO TAMPO PAINEL COMANDO (8 X 400 X 1670 mm) COD. 36478355"</f>
        <v>VIDRO TAMPO PAINEL COMANDO (8 X 400 X 1670 mm) COD. 36478355</v>
      </c>
      <c r="C842" s="6" t="str">
        <f>"36478355"</f>
        <v>36478355</v>
      </c>
      <c r="D842" s="10">
        <v>8355</v>
      </c>
      <c r="E842" s="12" t="s">
        <v>13</v>
      </c>
    </row>
    <row r="843" spans="1:5" x14ac:dyDescent="0.25">
      <c r="A843" s="4">
        <v>1</v>
      </c>
      <c r="B843" t="str">
        <f>"VIGA PRINCIPAL - 8275"</f>
        <v>VIGA PRINCIPAL - 8275</v>
      </c>
      <c r="C843" t="str">
        <f>"36498275"</f>
        <v>36498275</v>
      </c>
      <c r="D843" s="9">
        <v>8275</v>
      </c>
      <c r="E843" s="12" t="s">
        <v>13</v>
      </c>
    </row>
    <row r="844" spans="1:5" x14ac:dyDescent="0.25">
      <c r="A844" s="5">
        <v>1</v>
      </c>
      <c r="B844" s="6" t="str">
        <f>"VIGA PRINCIPAL - 8276"</f>
        <v>VIGA PRINCIPAL - 8276</v>
      </c>
      <c r="C844" s="6" t="str">
        <f>"36498276"</f>
        <v>36498276</v>
      </c>
      <c r="D844" s="10">
        <v>8276</v>
      </c>
      <c r="E844" s="12" t="s">
        <v>13</v>
      </c>
    </row>
    <row r="845" spans="1:5" x14ac:dyDescent="0.25">
      <c r="A845" s="4">
        <v>212</v>
      </c>
      <c r="B845" t="str">
        <f>"ABRAÇADEIRA DE ROSCA SEM FIM 3/4"" (19-27 x LARGURA 14)"</f>
        <v>ABRAÇADEIRA DE ROSCA SEM FIM 3/4" (19-27 x LARGURA 14)</v>
      </c>
      <c r="C845" t="str">
        <f>"41050003"</f>
        <v>41050003</v>
      </c>
      <c r="D845" s="9"/>
      <c r="E845" s="13" t="s">
        <v>14</v>
      </c>
    </row>
    <row r="846" spans="1:5" x14ac:dyDescent="0.25">
      <c r="A846" s="5">
        <v>28</v>
      </c>
      <c r="B846" s="6" t="str">
        <f>"ABRAÇADEIRA F14 F 4.3/4"" (102 - 121)"</f>
        <v>ABRAÇADEIRA F14 F 4.3/4" (102 - 121)</v>
      </c>
      <c r="C846" s="6" t="str">
        <f>"41050006"</f>
        <v>41050006</v>
      </c>
      <c r="D846" s="10"/>
      <c r="E846" s="13" t="s">
        <v>14</v>
      </c>
    </row>
    <row r="847" spans="1:5" x14ac:dyDescent="0.25">
      <c r="A847" s="4">
        <v>6</v>
      </c>
      <c r="B847" t="str">
        <f>"ABRAÇADEIRA DE ROSCA SEM FIM 1"" (25-38)"</f>
        <v>ABRAÇADEIRA DE ROSCA SEM FIM 1" (25-38)</v>
      </c>
      <c r="C847" t="str">
        <f>"41050011"</f>
        <v>41050011</v>
      </c>
      <c r="D847" s="9"/>
      <c r="E847" s="13" t="s">
        <v>14</v>
      </c>
    </row>
    <row r="848" spans="1:5" x14ac:dyDescent="0.25">
      <c r="A848" s="5">
        <v>4</v>
      </c>
      <c r="B848" s="6" t="str">
        <f>"ABRAÇADEIRA MANGOTE 39-47  ( LARGURA 20 mm)"</f>
        <v>ABRAÇADEIRA MANGOTE 39-47  ( LARGURA 20 mm)</v>
      </c>
      <c r="C848" s="6" t="str">
        <f>"41050013"</f>
        <v>41050013</v>
      </c>
      <c r="D848" s="10"/>
      <c r="E848" s="13" t="s">
        <v>14</v>
      </c>
    </row>
    <row r="849" spans="1:5" x14ac:dyDescent="0.25">
      <c r="A849" s="4">
        <v>6</v>
      </c>
      <c r="B849" t="str">
        <f>"ABRAÇADEIRA DE ROSCA SEM FIM 3.3/4"" (76-95)"</f>
        <v>ABRAÇADEIRA DE ROSCA SEM FIM 3.3/4" (76-95)</v>
      </c>
      <c r="C849" t="str">
        <f>"41050016"</f>
        <v>41050016</v>
      </c>
      <c r="D849" s="9"/>
      <c r="E849" s="13" t="s">
        <v>14</v>
      </c>
    </row>
    <row r="850" spans="1:5" x14ac:dyDescent="0.25">
      <c r="A850" s="5">
        <v>8</v>
      </c>
      <c r="B850" s="6" t="str">
        <f>"ABRAÇADEIRA MANGOTE 29-32 ( LARGURA 20 mm)"</f>
        <v>ABRAÇADEIRA MANGOTE 29-32 ( LARGURA 20 mm)</v>
      </c>
      <c r="C850" s="6" t="str">
        <f>"41050017"</f>
        <v>41050017</v>
      </c>
      <c r="D850" s="10"/>
      <c r="E850" s="13" t="s">
        <v>14</v>
      </c>
    </row>
    <row r="851" spans="1:5" x14ac:dyDescent="0.25">
      <c r="A851" s="4">
        <v>80</v>
      </c>
      <c r="B851" t="str">
        <f>"ABRAÇADEIRA MANGOTE 20-25  ( LARGURA 20 mm)"</f>
        <v>ABRAÇADEIRA MANGOTE 20-25  ( LARGURA 20 mm)</v>
      </c>
      <c r="C851" t="str">
        <f>"41050019"</f>
        <v>41050019</v>
      </c>
      <c r="D851" s="9"/>
      <c r="E851" s="13" t="s">
        <v>14</v>
      </c>
    </row>
    <row r="852" spans="1:5" x14ac:dyDescent="0.25">
      <c r="A852" s="5">
        <v>12</v>
      </c>
      <c r="B852" s="6" t="str">
        <f>"ABRAÇADEIRA MANGOTE 32-37  ( LARGURA 20 mm)"</f>
        <v>ABRAÇADEIRA MANGOTE 32-37  ( LARGURA 20 mm)</v>
      </c>
      <c r="C852" s="6" t="str">
        <f>"41050021"</f>
        <v>41050021</v>
      </c>
      <c r="D852" s="10"/>
      <c r="E852" s="13" t="s">
        <v>14</v>
      </c>
    </row>
    <row r="853" spans="1:5" x14ac:dyDescent="0.25">
      <c r="A853" s="4">
        <v>8</v>
      </c>
      <c r="B853" t="str">
        <f>"ACOPLAMENTO DE FOLE SOLDADO - R+W BKL-150 - Ø32 - Ø32"</f>
        <v>ACOPLAMENTO DE FOLE SOLDADO - R+W BKL-150 - Ø32 - Ø32</v>
      </c>
      <c r="C853" t="str">
        <f>"41090002"</f>
        <v>41090002</v>
      </c>
      <c r="D853" s="9"/>
      <c r="E853" s="13" t="s">
        <v>14</v>
      </c>
    </row>
    <row r="854" spans="1:5" x14ac:dyDescent="0.25">
      <c r="A854" s="5">
        <v>2</v>
      </c>
      <c r="B854" s="6" t="str">
        <f>"ALINHADOR SDA FP AT.80 DC1000 C/ SU-FAST/B-50"</f>
        <v>ALINHADOR SDA FP AT.80 DC1000 C/ SU-FAST/B-50</v>
      </c>
      <c r="C854" s="6" t="str">
        <f>"41170560"</f>
        <v>41170560</v>
      </c>
      <c r="D854" s="10"/>
      <c r="E854" s="13" t="s">
        <v>14</v>
      </c>
    </row>
    <row r="855" spans="1:5" x14ac:dyDescent="0.25">
      <c r="A855" s="4">
        <v>4</v>
      </c>
      <c r="B855" t="str">
        <f>"ANEL ELÁSTICO   501.010"</f>
        <v>ANEL ELÁSTICO   501.010</v>
      </c>
      <c r="C855" t="str">
        <f>"41210002"</f>
        <v>41210002</v>
      </c>
      <c r="D855" s="9"/>
      <c r="E855" s="13" t="s">
        <v>14</v>
      </c>
    </row>
    <row r="856" spans="1:5" x14ac:dyDescent="0.25">
      <c r="A856" s="5">
        <v>4</v>
      </c>
      <c r="B856" s="6" t="str">
        <f>"ANEL ELÁSTICO   501.016"</f>
        <v>ANEL ELÁSTICO   501.016</v>
      </c>
      <c r="C856" s="6" t="str">
        <f>"41210005"</f>
        <v>41210005</v>
      </c>
      <c r="D856" s="10"/>
      <c r="E856" s="13" t="s">
        <v>14</v>
      </c>
    </row>
    <row r="857" spans="1:5" x14ac:dyDescent="0.25">
      <c r="A857" s="4">
        <v>47</v>
      </c>
      <c r="B857" t="str">
        <f>"ANEL ELÁSTICO   501.017"</f>
        <v>ANEL ELÁSTICO   501.017</v>
      </c>
      <c r="C857" t="str">
        <f>"41210006"</f>
        <v>41210006</v>
      </c>
      <c r="D857" s="9"/>
      <c r="E857" s="13" t="s">
        <v>14</v>
      </c>
    </row>
    <row r="858" spans="1:5" x14ac:dyDescent="0.25">
      <c r="A858" s="5">
        <v>4</v>
      </c>
      <c r="B858" s="6" t="str">
        <f>"ANEL ELÁSTICO   501.020"</f>
        <v>ANEL ELÁSTICO   501.020</v>
      </c>
      <c r="C858" s="6" t="str">
        <f>"41210007"</f>
        <v>41210007</v>
      </c>
      <c r="D858" s="10"/>
      <c r="E858" s="13" t="s">
        <v>14</v>
      </c>
    </row>
    <row r="859" spans="1:5" x14ac:dyDescent="0.25">
      <c r="A859" s="4">
        <v>8</v>
      </c>
      <c r="B859" t="str">
        <f>"ANEL ELÁSTICO   501.025"</f>
        <v>ANEL ELÁSTICO   501.025</v>
      </c>
      <c r="C859" t="str">
        <f>"41210008"</f>
        <v>41210008</v>
      </c>
      <c r="D859" s="9"/>
      <c r="E859" s="13" t="s">
        <v>14</v>
      </c>
    </row>
    <row r="860" spans="1:5" x14ac:dyDescent="0.25">
      <c r="A860" s="5">
        <v>2</v>
      </c>
      <c r="B860" s="6" t="str">
        <f>"ANEL ELÁSTICO   501.030"</f>
        <v>ANEL ELÁSTICO   501.030</v>
      </c>
      <c r="C860" s="6" t="str">
        <f>"41210010"</f>
        <v>41210010</v>
      </c>
      <c r="D860" s="10"/>
      <c r="E860" s="13" t="s">
        <v>14</v>
      </c>
    </row>
    <row r="861" spans="1:5" x14ac:dyDescent="0.25">
      <c r="A861" s="4">
        <v>17</v>
      </c>
      <c r="B861" t="str">
        <f>"ANEL ELÁSTICO   501.035"</f>
        <v>ANEL ELÁSTICO   501.035</v>
      </c>
      <c r="C861" t="str">
        <f>"41210012"</f>
        <v>41210012</v>
      </c>
      <c r="D861" s="9"/>
      <c r="E861" s="13" t="s">
        <v>14</v>
      </c>
    </row>
    <row r="862" spans="1:5" x14ac:dyDescent="0.25">
      <c r="A862" s="5">
        <v>2</v>
      </c>
      <c r="B862" s="6" t="str">
        <f>"ANEL ELÁSTICO   501.040"</f>
        <v>ANEL ELÁSTICO   501.040</v>
      </c>
      <c r="C862" s="6" t="str">
        <f>"41210014"</f>
        <v>41210014</v>
      </c>
      <c r="D862" s="10"/>
      <c r="E862" s="13" t="s">
        <v>14</v>
      </c>
    </row>
    <row r="863" spans="1:5" x14ac:dyDescent="0.25">
      <c r="A863" s="4">
        <v>4</v>
      </c>
      <c r="B863" t="str">
        <f>"ANEL ELÁSTICO   501.045"</f>
        <v>ANEL ELÁSTICO   501.045</v>
      </c>
      <c r="C863" t="str">
        <f>"41210016"</f>
        <v>41210016</v>
      </c>
      <c r="D863" s="9"/>
      <c r="E863" s="13" t="s">
        <v>14</v>
      </c>
    </row>
    <row r="864" spans="1:5" x14ac:dyDescent="0.25">
      <c r="A864" s="5">
        <v>16</v>
      </c>
      <c r="B864" s="6" t="str">
        <f>"ANEL ELÁSTICO   501.055"</f>
        <v>ANEL ELÁSTICO   501.055</v>
      </c>
      <c r="C864" s="6" t="str">
        <f>"41210018"</f>
        <v>41210018</v>
      </c>
      <c r="D864" s="10"/>
      <c r="E864" s="13" t="s">
        <v>14</v>
      </c>
    </row>
    <row r="865" spans="1:5" x14ac:dyDescent="0.25">
      <c r="A865" s="4">
        <v>8</v>
      </c>
      <c r="B865" t="str">
        <f>"ANEL ELÁSTICO   501.060"</f>
        <v>ANEL ELÁSTICO   501.060</v>
      </c>
      <c r="C865" t="str">
        <f>"41210019"</f>
        <v>41210019</v>
      </c>
      <c r="D865" s="9"/>
      <c r="E865" s="13" t="s">
        <v>14</v>
      </c>
    </row>
    <row r="866" spans="1:5" x14ac:dyDescent="0.25">
      <c r="A866" s="5">
        <v>82</v>
      </c>
      <c r="B866" s="6" t="str">
        <f>"ANEL ELÁSTICO  502.035"</f>
        <v>ANEL ELÁSTICO  502.035</v>
      </c>
      <c r="C866" s="6" t="str">
        <f>"41210024"</f>
        <v>41210024</v>
      </c>
      <c r="D866" s="10"/>
      <c r="E866" s="13" t="s">
        <v>14</v>
      </c>
    </row>
    <row r="867" spans="1:5" x14ac:dyDescent="0.25">
      <c r="A867" s="4">
        <v>2</v>
      </c>
      <c r="B867" t="str">
        <f>"ANEL ELÁSTICO  502.040"</f>
        <v>ANEL ELÁSTICO  502.040</v>
      </c>
      <c r="C867" t="str">
        <f>"41210025"</f>
        <v>41210025</v>
      </c>
      <c r="D867" s="9"/>
      <c r="E867" s="13" t="s">
        <v>14</v>
      </c>
    </row>
    <row r="868" spans="1:5" x14ac:dyDescent="0.25">
      <c r="A868" s="5">
        <v>8</v>
      </c>
      <c r="B868" s="6" t="str">
        <f>"ANEL ELÁSTICO  502.042"</f>
        <v>ANEL ELÁSTICO  502.042</v>
      </c>
      <c r="C868" s="6" t="str">
        <f>"41210026"</f>
        <v>41210026</v>
      </c>
      <c r="D868" s="10"/>
      <c r="E868" s="13" t="s">
        <v>14</v>
      </c>
    </row>
    <row r="869" spans="1:5" x14ac:dyDescent="0.25">
      <c r="A869" s="4">
        <v>14</v>
      </c>
      <c r="B869" t="str">
        <f>"ANEL ELÁSTICO  502.047"</f>
        <v>ANEL ELÁSTICO  502.047</v>
      </c>
      <c r="C869" t="str">
        <f>"41210027"</f>
        <v>41210027</v>
      </c>
      <c r="D869" s="9"/>
      <c r="E869" s="13" t="s">
        <v>14</v>
      </c>
    </row>
    <row r="870" spans="1:5" x14ac:dyDescent="0.25">
      <c r="A870" s="5">
        <v>4</v>
      </c>
      <c r="B870" s="6" t="str">
        <f>"ANEL ELÁSTICO  502.062"</f>
        <v>ANEL ELÁSTICO  502.062</v>
      </c>
      <c r="C870" s="6" t="str">
        <f>"41210029"</f>
        <v>41210029</v>
      </c>
      <c r="D870" s="10"/>
      <c r="E870" s="13" t="s">
        <v>14</v>
      </c>
    </row>
    <row r="871" spans="1:5" x14ac:dyDescent="0.25">
      <c r="A871" s="4">
        <v>1</v>
      </c>
      <c r="B871" t="str">
        <f>"ANEL ELÁSTICO  502.085"</f>
        <v>ANEL ELÁSTICO  502.085</v>
      </c>
      <c r="C871" t="str">
        <f>"41210033"</f>
        <v>41210033</v>
      </c>
      <c r="D871" s="9"/>
      <c r="E871" s="13" t="s">
        <v>14</v>
      </c>
    </row>
    <row r="872" spans="1:5" x14ac:dyDescent="0.25">
      <c r="A872" s="5">
        <v>4</v>
      </c>
      <c r="B872" s="6" t="str">
        <f>"ANEL ELÁSTICO 502.052"</f>
        <v>ANEL ELÁSTICO 502.052</v>
      </c>
      <c r="C872" s="6" t="str">
        <f>"41210045"</f>
        <v>41210045</v>
      </c>
      <c r="D872" s="10"/>
      <c r="E872" s="13" t="s">
        <v>14</v>
      </c>
    </row>
    <row r="873" spans="1:5" x14ac:dyDescent="0.25">
      <c r="A873" s="4">
        <v>2</v>
      </c>
      <c r="B873" t="str">
        <f>"ANEL ORING - 2109"</f>
        <v>ANEL ORING - 2109</v>
      </c>
      <c r="C873" t="str">
        <f>"41210059"</f>
        <v>41210059</v>
      </c>
      <c r="D873" s="9"/>
      <c r="E873" s="13" t="s">
        <v>14</v>
      </c>
    </row>
    <row r="874" spans="1:5" x14ac:dyDescent="0.25">
      <c r="A874" s="5">
        <v>8</v>
      </c>
      <c r="B874" s="6" t="str">
        <f>"ANEL ORING - 2133 VITON"</f>
        <v>ANEL ORING - 2133 VITON</v>
      </c>
      <c r="C874" s="6" t="str">
        <f>"41210067"</f>
        <v>41210067</v>
      </c>
      <c r="D874" s="10"/>
      <c r="E874" s="13" t="s">
        <v>14</v>
      </c>
    </row>
    <row r="875" spans="1:5" x14ac:dyDescent="0.25">
      <c r="A875" s="4">
        <v>24</v>
      </c>
      <c r="B875" t="str">
        <f>"ANEL ORING - 2321 VITON"</f>
        <v>ANEL ORING - 2321 VITON</v>
      </c>
      <c r="C875" t="str">
        <f>"41210081"</f>
        <v>41210081</v>
      </c>
      <c r="D875" s="9"/>
      <c r="E875" s="13" t="s">
        <v>14</v>
      </c>
    </row>
    <row r="876" spans="1:5" x14ac:dyDescent="0.25">
      <c r="A876" s="5">
        <v>16</v>
      </c>
      <c r="B876" s="6" t="str">
        <f>"ANEL ORING - 2045"</f>
        <v>ANEL ORING - 2045</v>
      </c>
      <c r="C876" s="6" t="str">
        <f>"41210111"</f>
        <v>41210111</v>
      </c>
      <c r="D876" s="10"/>
      <c r="E876" s="13" t="s">
        <v>14</v>
      </c>
    </row>
    <row r="877" spans="1:5" x14ac:dyDescent="0.25">
      <c r="A877" s="4">
        <v>4</v>
      </c>
      <c r="B877" t="str">
        <f>"ANEL DE FIXAÇAO ø 38 x ø 65 - RFN 7012"</f>
        <v>ANEL DE FIXAÇAO ø 38 x ø 65 - RFN 7012</v>
      </c>
      <c r="C877" t="str">
        <f>"41210204"</f>
        <v>41210204</v>
      </c>
      <c r="D877" s="9"/>
      <c r="E877" s="13" t="s">
        <v>14</v>
      </c>
    </row>
    <row r="878" spans="1:5" x14ac:dyDescent="0.25">
      <c r="A878" s="5">
        <v>1</v>
      </c>
      <c r="B878" s="6" t="str">
        <f>"ANEL DE FIXAÇAO TTEF 1012 Ø130 x Ø180"</f>
        <v>ANEL DE FIXAÇAO TTEF 1012 Ø130 x Ø180</v>
      </c>
      <c r="C878" s="6" t="str">
        <f>"41210250"</f>
        <v>41210250</v>
      </c>
      <c r="D878" s="10"/>
      <c r="E878" s="13" t="s">
        <v>14</v>
      </c>
    </row>
    <row r="879" spans="1:5" x14ac:dyDescent="0.25">
      <c r="A879" s="4">
        <v>4</v>
      </c>
      <c r="B879" t="str">
        <f>"ARRUELA LISA ø 3 DIN 125"</f>
        <v>ARRUELA LISA ø 3 DIN 125</v>
      </c>
      <c r="C879" t="str">
        <f>"41330000"</f>
        <v>41330000</v>
      </c>
      <c r="D879" s="9"/>
      <c r="E879" s="13" t="s">
        <v>14</v>
      </c>
    </row>
    <row r="880" spans="1:5" x14ac:dyDescent="0.25">
      <c r="A880" s="5">
        <v>222</v>
      </c>
      <c r="B880" s="6" t="str">
        <f>"ARRUELA LISA ø 4 DIN 125"</f>
        <v>ARRUELA LISA ø 4 DIN 125</v>
      </c>
      <c r="C880" s="6" t="str">
        <f>"41330001"</f>
        <v>41330001</v>
      </c>
      <c r="D880" s="10"/>
      <c r="E880" s="13" t="s">
        <v>14</v>
      </c>
    </row>
    <row r="881" spans="1:5" x14ac:dyDescent="0.25">
      <c r="A881" s="4">
        <v>218</v>
      </c>
      <c r="B881" t="str">
        <f>"ARRUELA LISA ø 5 DIN125"</f>
        <v>ARRUELA LISA ø 5 DIN125</v>
      </c>
      <c r="C881" t="str">
        <f>"41330002"</f>
        <v>41330002</v>
      </c>
      <c r="D881" s="9"/>
      <c r="E881" s="13" t="s">
        <v>14</v>
      </c>
    </row>
    <row r="882" spans="1:5" x14ac:dyDescent="0.25">
      <c r="A882" s="5">
        <v>640</v>
      </c>
      <c r="B882" s="6" t="str">
        <f>"ARRUELA LISA ø 6 DIN 125"</f>
        <v>ARRUELA LISA ø 6 DIN 125</v>
      </c>
      <c r="C882" s="6" t="str">
        <f>"41330003"</f>
        <v>41330003</v>
      </c>
      <c r="D882" s="10"/>
      <c r="E882" s="13" t="s">
        <v>14</v>
      </c>
    </row>
    <row r="883" spans="1:5" x14ac:dyDescent="0.25">
      <c r="A883" s="4">
        <v>202</v>
      </c>
      <c r="B883" t="str">
        <f>"ARRUELA LISA ø 8 DIN 125"</f>
        <v>ARRUELA LISA ø 8 DIN 125</v>
      </c>
      <c r="C883" t="str">
        <f>"41330004"</f>
        <v>41330004</v>
      </c>
      <c r="D883" s="9"/>
      <c r="E883" s="13" t="s">
        <v>14</v>
      </c>
    </row>
    <row r="884" spans="1:5" x14ac:dyDescent="0.25">
      <c r="A884" s="5">
        <v>134</v>
      </c>
      <c r="B884" s="6" t="str">
        <f>"ARRUELA LISA ø 10 DIN 125"</f>
        <v>ARRUELA LISA ø 10 DIN 125</v>
      </c>
      <c r="C884" s="6" t="str">
        <f>"41330005"</f>
        <v>41330005</v>
      </c>
      <c r="D884" s="10"/>
      <c r="E884" s="13" t="s">
        <v>14</v>
      </c>
    </row>
    <row r="885" spans="1:5" x14ac:dyDescent="0.25">
      <c r="A885" s="4">
        <v>43</v>
      </c>
      <c r="B885" t="str">
        <f>"ARRUELA LISA ø 12 DIN 125"</f>
        <v>ARRUELA LISA ø 12 DIN 125</v>
      </c>
      <c r="C885" t="str">
        <f>"41330006"</f>
        <v>41330006</v>
      </c>
      <c r="D885" s="9"/>
      <c r="E885" s="13" t="s">
        <v>14</v>
      </c>
    </row>
    <row r="886" spans="1:5" x14ac:dyDescent="0.25">
      <c r="A886" s="5">
        <v>25</v>
      </c>
      <c r="B886" s="6" t="str">
        <f>"ARRUELA LISA ø 16 DIN 125"</f>
        <v>ARRUELA LISA ø 16 DIN 125</v>
      </c>
      <c r="C886" s="6" t="str">
        <f>"41330008"</f>
        <v>41330008</v>
      </c>
      <c r="D886" s="10"/>
      <c r="E886" s="13" t="s">
        <v>14</v>
      </c>
    </row>
    <row r="887" spans="1:5" x14ac:dyDescent="0.25">
      <c r="A887" s="4">
        <v>16</v>
      </c>
      <c r="B887" t="str">
        <f>"ARRUELA LISA Ø27  ZB"</f>
        <v>ARRUELA LISA Ø27  ZB</v>
      </c>
      <c r="C887" t="str">
        <f>"41330012"</f>
        <v>41330012</v>
      </c>
      <c r="D887" s="9"/>
      <c r="E887" s="13" t="s">
        <v>14</v>
      </c>
    </row>
    <row r="888" spans="1:5" x14ac:dyDescent="0.25">
      <c r="A888" s="5">
        <v>18</v>
      </c>
      <c r="B888" s="6" t="str">
        <f>"ARRUELA DE PRESSÃO ø 5 DIN 127"</f>
        <v>ARRUELA DE PRESSÃO ø 5 DIN 127</v>
      </c>
      <c r="C888" s="6" t="str">
        <f>"41330031"</f>
        <v>41330031</v>
      </c>
      <c r="D888" s="10"/>
      <c r="E888" s="13" t="s">
        <v>14</v>
      </c>
    </row>
    <row r="889" spans="1:5" x14ac:dyDescent="0.25">
      <c r="A889" s="4">
        <v>370</v>
      </c>
      <c r="B889" t="str">
        <f>"ARRUELA DE PRESSÃO ø 6 DIN 127"</f>
        <v>ARRUELA DE PRESSÃO ø 6 DIN 127</v>
      </c>
      <c r="C889" t="str">
        <f>"41330032"</f>
        <v>41330032</v>
      </c>
      <c r="D889" s="9"/>
      <c r="E889" s="13" t="s">
        <v>14</v>
      </c>
    </row>
    <row r="890" spans="1:5" x14ac:dyDescent="0.25">
      <c r="A890" s="5">
        <v>275</v>
      </c>
      <c r="B890" s="6" t="str">
        <f>"ARRUELA DE PRESSÃO ø 8 DIN 127"</f>
        <v>ARRUELA DE PRESSÃO ø 8 DIN 127</v>
      </c>
      <c r="C890" s="6" t="str">
        <f>"41330033"</f>
        <v>41330033</v>
      </c>
      <c r="D890" s="10"/>
      <c r="E890" s="13" t="s">
        <v>14</v>
      </c>
    </row>
    <row r="891" spans="1:5" x14ac:dyDescent="0.25">
      <c r="A891" s="4">
        <v>109</v>
      </c>
      <c r="B891" t="str">
        <f>"ARRUELA DE PRESSÃO ø 10 DIN 127"</f>
        <v>ARRUELA DE PRESSÃO ø 10 DIN 127</v>
      </c>
      <c r="C891" t="str">
        <f>"41330034"</f>
        <v>41330034</v>
      </c>
      <c r="D891" s="9"/>
      <c r="E891" s="13" t="s">
        <v>14</v>
      </c>
    </row>
    <row r="892" spans="1:5" x14ac:dyDescent="0.25">
      <c r="A892" s="5">
        <v>25</v>
      </c>
      <c r="B892" s="6" t="str">
        <f>"ARRUELA DE PRESSÃO ø 12 DIN 127"</f>
        <v>ARRUELA DE PRESSÃO ø 12 DIN 127</v>
      </c>
      <c r="C892" s="6" t="str">
        <f>"41330035"</f>
        <v>41330035</v>
      </c>
      <c r="D892" s="10"/>
      <c r="E892" s="13" t="s">
        <v>14</v>
      </c>
    </row>
    <row r="893" spans="1:5" x14ac:dyDescent="0.25">
      <c r="A893" s="4">
        <v>6</v>
      </c>
      <c r="B893" t="str">
        <f>"ARRUELA DE PRESSÃO ø 16 DIN 127"</f>
        <v>ARRUELA DE PRESSÃO ø 16 DIN 127</v>
      </c>
      <c r="C893" t="str">
        <f>"41330037"</f>
        <v>41330037</v>
      </c>
      <c r="D893" s="9"/>
      <c r="E893" s="13" t="s">
        <v>14</v>
      </c>
    </row>
    <row r="894" spans="1:5" x14ac:dyDescent="0.25">
      <c r="A894" s="5">
        <v>8</v>
      </c>
      <c r="B894" s="6" t="str">
        <f>"ARRUELA TRAVA  - MB3 - ø 17"</f>
        <v>ARRUELA TRAVA  - MB3 - ø 17</v>
      </c>
      <c r="C894" s="6" t="str">
        <f>"41330039"</f>
        <v>41330039</v>
      </c>
      <c r="D894" s="10"/>
      <c r="E894" s="13" t="s">
        <v>14</v>
      </c>
    </row>
    <row r="895" spans="1:5" x14ac:dyDescent="0.25">
      <c r="A895" s="4">
        <v>4</v>
      </c>
      <c r="B895" t="str">
        <f>"ARRUELA TRAVA  - MB4 - ø 20"</f>
        <v>ARRUELA TRAVA  - MB4 - ø 20</v>
      </c>
      <c r="C895" t="str">
        <f>"41330040"</f>
        <v>41330040</v>
      </c>
      <c r="D895" s="9"/>
      <c r="E895" s="13" t="s">
        <v>14</v>
      </c>
    </row>
    <row r="896" spans="1:5" x14ac:dyDescent="0.25">
      <c r="A896" s="5">
        <v>48</v>
      </c>
      <c r="B896" s="6" t="str">
        <f>"ARRUELA DE PRESSÃO INOX ø 6 DIN 127"</f>
        <v>ARRUELA DE PRESSÃO INOX ø 6 DIN 127</v>
      </c>
      <c r="C896" s="6" t="str">
        <f>"41330042"</f>
        <v>41330042</v>
      </c>
      <c r="D896" s="10"/>
      <c r="E896" s="13" t="s">
        <v>14</v>
      </c>
    </row>
    <row r="897" spans="1:5" x14ac:dyDescent="0.25">
      <c r="A897" s="4">
        <v>0.24</v>
      </c>
      <c r="B897" t="str">
        <f>"BARRA DE ACO RETAG. 1/4""X 2"""</f>
        <v>BARRA DE ACO RETAG. 1/4"X 2"</v>
      </c>
      <c r="C897" t="str">
        <f>"41440007"</f>
        <v>41440007</v>
      </c>
      <c r="D897" s="9"/>
      <c r="E897" s="13" t="s">
        <v>14</v>
      </c>
    </row>
    <row r="898" spans="1:5" x14ac:dyDescent="0.25">
      <c r="A898" s="5">
        <v>0.81</v>
      </c>
      <c r="B898" s="6" t="str">
        <f>"BARRA ACO RTG. 1/4""X 1"""</f>
        <v>BARRA ACO RTG. 1/4"X 1"</v>
      </c>
      <c r="C898" s="6" t="str">
        <f>"41440008"</f>
        <v>41440008</v>
      </c>
      <c r="D898" s="10"/>
      <c r="E898" s="13" t="s">
        <v>14</v>
      </c>
    </row>
    <row r="899" spans="1:5" x14ac:dyDescent="0.25">
      <c r="A899" s="4">
        <v>37.164999999999999</v>
      </c>
      <c r="B899" t="str">
        <f>"BARRA DE ACO RETAG. 3/8""X 1"""</f>
        <v>BARRA DE ACO RETAG. 3/8"X 1"</v>
      </c>
      <c r="C899" t="str">
        <f>"41440010"</f>
        <v>41440010</v>
      </c>
      <c r="D899" s="9"/>
      <c r="E899" s="13" t="s">
        <v>14</v>
      </c>
    </row>
    <row r="900" spans="1:5" x14ac:dyDescent="0.25">
      <c r="A900" s="5">
        <v>4.6219999999999999</v>
      </c>
      <c r="B900" s="6" t="str">
        <f>"BARRA DE ACO RETAG. 3/8""X 2"""</f>
        <v>BARRA DE ACO RETAG. 3/8"X 2"</v>
      </c>
      <c r="C900" s="6" t="str">
        <f>"41440011"</f>
        <v>41440011</v>
      </c>
      <c r="D900" s="10"/>
      <c r="E900" s="13" t="s">
        <v>14</v>
      </c>
    </row>
    <row r="901" spans="1:5" x14ac:dyDescent="0.25">
      <c r="A901" s="4">
        <v>8.7780000000000005</v>
      </c>
      <c r="B901" t="str">
        <f>"BARRA DE ACO RETAG. 3/8""X 1.1/4"""</f>
        <v>BARRA DE ACO RETAG. 3/8"X 1.1/4"</v>
      </c>
      <c r="C901" t="str">
        <f>"41440013"</f>
        <v>41440013</v>
      </c>
      <c r="D901" s="9"/>
      <c r="E901" s="13" t="s">
        <v>14</v>
      </c>
    </row>
    <row r="902" spans="1:5" x14ac:dyDescent="0.25">
      <c r="A902" s="5">
        <v>2.56</v>
      </c>
      <c r="B902" s="6" t="str">
        <f>"BARRA DE ACO RETAG. 3/8""X 1.1/2"""</f>
        <v>BARRA DE ACO RETAG. 3/8"X 1.1/2"</v>
      </c>
      <c r="C902" s="6" t="str">
        <f>"41440014"</f>
        <v>41440014</v>
      </c>
      <c r="D902" s="10"/>
      <c r="E902" s="13" t="s">
        <v>14</v>
      </c>
    </row>
    <row r="903" spans="1:5" x14ac:dyDescent="0.25">
      <c r="A903" s="4">
        <v>5.2155555555999999</v>
      </c>
      <c r="B903" t="str">
        <f>"BARRA DE ACO RETAG. 3/16""X 1"""</f>
        <v>BARRA DE ACO RETAG. 3/16"X 1"</v>
      </c>
      <c r="C903" t="str">
        <f>"41440015"</f>
        <v>41440015</v>
      </c>
      <c r="D903" s="9"/>
      <c r="E903" s="13" t="s">
        <v>14</v>
      </c>
    </row>
    <row r="904" spans="1:5" x14ac:dyDescent="0.25">
      <c r="A904" s="5">
        <v>71.412000000000006</v>
      </c>
      <c r="B904" s="6" t="str">
        <f>"BARRA DE ACO RETAG. 3/16""X 1.1/4"""</f>
        <v>BARRA DE ACO RETAG. 3/16"X 1.1/4"</v>
      </c>
      <c r="C904" s="6" t="str">
        <f>"41440016"</f>
        <v>41440016</v>
      </c>
      <c r="D904" s="10"/>
      <c r="E904" s="13" t="s">
        <v>14</v>
      </c>
    </row>
    <row r="905" spans="1:5" x14ac:dyDescent="0.25">
      <c r="A905" s="4">
        <v>0.4</v>
      </c>
      <c r="B905" t="str">
        <f>"BARRA DE ACO RETAG. 3/16"" X 2"""</f>
        <v>BARRA DE ACO RETAG. 3/16" X 2"</v>
      </c>
      <c r="C905" t="str">
        <f>"41440017"</f>
        <v>41440017</v>
      </c>
      <c r="D905" s="9"/>
      <c r="E905" s="13" t="s">
        <v>14</v>
      </c>
    </row>
    <row r="906" spans="1:5" x14ac:dyDescent="0.25">
      <c r="A906" s="5">
        <v>0.99</v>
      </c>
      <c r="B906" s="6" t="str">
        <f>"BARRA DE ACO RETAG. 5/8""X 2"""</f>
        <v>BARRA DE ACO RETAG. 5/8"X 2"</v>
      </c>
      <c r="C906" s="6" t="str">
        <f>"41440048"</f>
        <v>41440048</v>
      </c>
      <c r="D906" s="10"/>
      <c r="E906" s="13" t="s">
        <v>14</v>
      </c>
    </row>
    <row r="907" spans="1:5" x14ac:dyDescent="0.25">
      <c r="A907" s="4">
        <v>1.92</v>
      </c>
      <c r="B907" t="str">
        <f>"BARRA DE ACO RETAG. 5/8""X 3"""</f>
        <v>BARRA DE ACO RETAG. 5/8"X 3"</v>
      </c>
      <c r="C907" t="str">
        <f>"41440049"</f>
        <v>41440049</v>
      </c>
      <c r="D907" s="9"/>
      <c r="E907" s="13" t="s">
        <v>14</v>
      </c>
    </row>
    <row r="908" spans="1:5" x14ac:dyDescent="0.25">
      <c r="A908" s="5">
        <v>4.1310000000000002</v>
      </c>
      <c r="B908" s="6" t="str">
        <f>"BARRA DE ACO RETAG. 3/8"" X 3"""</f>
        <v>BARRA DE ACO RETAG. 3/8" X 3"</v>
      </c>
      <c r="C908" s="6" t="str">
        <f>"41440052"</f>
        <v>41440052</v>
      </c>
      <c r="D908" s="10"/>
      <c r="E908" s="13" t="s">
        <v>14</v>
      </c>
    </row>
    <row r="909" spans="1:5" x14ac:dyDescent="0.25">
      <c r="A909" s="4">
        <v>6.2080000000000002</v>
      </c>
      <c r="B909" t="str">
        <f>"BARRA DE ACO RETAG. 3/8""X 4"""</f>
        <v>BARRA DE ACO RETAG. 3/8"X 4"</v>
      </c>
      <c r="C909" t="str">
        <f>"41440053"</f>
        <v>41440053</v>
      </c>
      <c r="D909" s="9"/>
      <c r="E909" s="13" t="s">
        <v>14</v>
      </c>
    </row>
    <row r="910" spans="1:5" x14ac:dyDescent="0.25">
      <c r="A910" s="5">
        <v>1.1288888887999999</v>
      </c>
      <c r="B910" s="6" t="str">
        <f>"BARRA DE ACO RETAG. 3/8""X 2.1/2"""</f>
        <v>BARRA DE ACO RETAG. 3/8"X 2.1/2"</v>
      </c>
      <c r="C910" s="6" t="str">
        <f>"41440055"</f>
        <v>41440055</v>
      </c>
      <c r="D910" s="10"/>
      <c r="E910" s="13" t="s">
        <v>14</v>
      </c>
    </row>
    <row r="911" spans="1:5" x14ac:dyDescent="0.25">
      <c r="A911" s="4">
        <v>1.35</v>
      </c>
      <c r="B911" t="str">
        <f>"BARRA DE ACO RETAG. 1/2""X 2"""</f>
        <v>BARRA DE ACO RETAG. 1/2"X 2"</v>
      </c>
      <c r="C911" t="str">
        <f>"41440056"</f>
        <v>41440056</v>
      </c>
      <c r="D911" s="9"/>
      <c r="E911" s="13" t="s">
        <v>14</v>
      </c>
    </row>
    <row r="912" spans="1:5" x14ac:dyDescent="0.25">
      <c r="A912" s="5">
        <v>5.5E-2</v>
      </c>
      <c r="B912" s="6" t="str">
        <f>"BARRA DE ACO RETAG. 1/2""X 1.1/2"""</f>
        <v>BARRA DE ACO RETAG. 1/2"X 1.1/2"</v>
      </c>
      <c r="C912" s="6" t="str">
        <f>"41440068"</f>
        <v>41440068</v>
      </c>
      <c r="D912" s="10"/>
      <c r="E912" s="13" t="s">
        <v>14</v>
      </c>
    </row>
    <row r="913" spans="1:5" x14ac:dyDescent="0.25">
      <c r="A913" s="4">
        <v>0.13</v>
      </c>
      <c r="B913" t="str">
        <f>"BARRA DE ACO RETAG.- SAE 1020 DE 1"" x  2"""</f>
        <v>BARRA DE ACO RETAG.- SAE 1020 DE 1" x  2"</v>
      </c>
      <c r="C913" t="str">
        <f>"41440074"</f>
        <v>41440074</v>
      </c>
      <c r="D913" s="9"/>
      <c r="E913" s="13" t="s">
        <v>14</v>
      </c>
    </row>
    <row r="914" spans="1:5" x14ac:dyDescent="0.25">
      <c r="A914" s="5">
        <v>2.5499999999999998</v>
      </c>
      <c r="B914" s="6" t="str">
        <f>"BARRA ACO QD.TREF.SAE 1020 - 7/8"""</f>
        <v>BARRA ACO QD.TREF.SAE 1020 - 7/8"</v>
      </c>
      <c r="C914" s="6" t="str">
        <f>"41440077"</f>
        <v>41440077</v>
      </c>
      <c r="D914" s="10"/>
      <c r="E914" s="13" t="s">
        <v>14</v>
      </c>
    </row>
    <row r="915" spans="1:5" x14ac:dyDescent="0.25">
      <c r="A915" s="4">
        <v>7.032</v>
      </c>
      <c r="B915" t="str">
        <f>"BARRA ACO QD.TREF.SAE 1020 - 3/4"""</f>
        <v>BARRA ACO QD.TREF.SAE 1020 - 3/4"</v>
      </c>
      <c r="C915" t="str">
        <f>"41440078"</f>
        <v>41440078</v>
      </c>
      <c r="D915" s="9"/>
      <c r="E915" s="13" t="s">
        <v>14</v>
      </c>
    </row>
    <row r="916" spans="1:5" x14ac:dyDescent="0.25">
      <c r="A916" s="5">
        <v>5.4619999999999997</v>
      </c>
      <c r="B916" s="6" t="str">
        <f>"BARRA ACO QD.TREF.SAE 1020 - 1"""</f>
        <v>BARRA ACO QD.TREF.SAE 1020 - 1"</v>
      </c>
      <c r="C916" s="6" t="str">
        <f>"41440079"</f>
        <v>41440079</v>
      </c>
      <c r="D916" s="10"/>
      <c r="E916" s="13" t="s">
        <v>14</v>
      </c>
    </row>
    <row r="917" spans="1:5" x14ac:dyDescent="0.25">
      <c r="A917" s="4">
        <v>0.312</v>
      </c>
      <c r="B917" t="str">
        <f>"BARRA ACO QD.TREF.SAE 1020 - 1/2"""</f>
        <v>BARRA ACO QD.TREF.SAE 1020 - 1/2"</v>
      </c>
      <c r="C917" t="str">
        <f>"41440083"</f>
        <v>41440083</v>
      </c>
      <c r="D917" s="9"/>
      <c r="E917" s="13" t="s">
        <v>14</v>
      </c>
    </row>
    <row r="918" spans="1:5" x14ac:dyDescent="0.25">
      <c r="A918" s="5">
        <v>1.8</v>
      </c>
      <c r="B918" s="6" t="str">
        <f>"BARRA DE ACO RETAG.- SAE 1020 DE  3/4"" x  1 1/4"""</f>
        <v>BARRA DE ACO RETAG.- SAE 1020 DE  3/4" x  1 1/4"</v>
      </c>
      <c r="C918" s="6" t="str">
        <f>"41440086"</f>
        <v>41440086</v>
      </c>
      <c r="D918" s="10"/>
      <c r="E918" s="13" t="s">
        <v>14</v>
      </c>
    </row>
    <row r="919" spans="1:5" x14ac:dyDescent="0.25">
      <c r="A919" s="4">
        <v>0.1</v>
      </c>
      <c r="B919" t="str">
        <f>"BARRA ACO SXT. TREF.SAE 1020 - 5/8"""</f>
        <v>BARRA ACO SXT. TREF.SAE 1020 - 5/8"</v>
      </c>
      <c r="C919" t="str">
        <f>"41440089"</f>
        <v>41440089</v>
      </c>
      <c r="D919" s="9"/>
      <c r="E919" s="13" t="s">
        <v>14</v>
      </c>
    </row>
    <row r="920" spans="1:5" x14ac:dyDescent="0.25">
      <c r="A920" s="5">
        <v>0.44600000000000001</v>
      </c>
      <c r="B920" s="6" t="str">
        <f>"BARRA ACO TREF SXT- SAE 1020 - 7/8"""</f>
        <v>BARRA ACO TREF SXT- SAE 1020 - 7/8"</v>
      </c>
      <c r="C920" s="6" t="str">
        <f>"41440090"</f>
        <v>41440090</v>
      </c>
      <c r="D920" s="10"/>
      <c r="E920" s="13" t="s">
        <v>14</v>
      </c>
    </row>
    <row r="921" spans="1:5" x14ac:dyDescent="0.25">
      <c r="A921" s="4">
        <v>0.23200000000000001</v>
      </c>
      <c r="B921" t="str">
        <f>"BARRA ACO SXT.- TREF.- SAE 1020 - 3/4"""</f>
        <v>BARRA ACO SXT.- TREF.- SAE 1020 - 3/4"</v>
      </c>
      <c r="C921" t="str">
        <f>"41440092"</f>
        <v>41440092</v>
      </c>
      <c r="D921" s="9"/>
      <c r="E921" s="13" t="s">
        <v>14</v>
      </c>
    </row>
    <row r="922" spans="1:5" x14ac:dyDescent="0.25">
      <c r="A922" s="5">
        <v>0.44500000000000001</v>
      </c>
      <c r="B922" s="6" t="str">
        <f>"BARRA ACO RED.TREF.SAE 1020 - 1/2"""</f>
        <v>BARRA ACO RED.TREF.SAE 1020 - 1/2"</v>
      </c>
      <c r="C922" s="6" t="str">
        <f>"41440100"</f>
        <v>41440100</v>
      </c>
      <c r="D922" s="10"/>
      <c r="E922" s="13" t="s">
        <v>14</v>
      </c>
    </row>
    <row r="923" spans="1:5" x14ac:dyDescent="0.25">
      <c r="A923" s="4">
        <v>0.68</v>
      </c>
      <c r="B923" t="str">
        <f>"BARRA ACO RED.TREF.SAE 1020 - 3/8"""</f>
        <v>BARRA ACO RED.TREF.SAE 1020 - 3/8"</v>
      </c>
      <c r="C923" t="str">
        <f>"41440145"</f>
        <v>41440145</v>
      </c>
      <c r="D923" s="9"/>
      <c r="E923" s="13" t="s">
        <v>14</v>
      </c>
    </row>
    <row r="924" spans="1:5" x14ac:dyDescent="0.25">
      <c r="A924" s="5">
        <v>5.36</v>
      </c>
      <c r="B924" s="6" t="str">
        <f>"BARRA ACO RED.-TREF.SAE 1020 - 5/8"""</f>
        <v>BARRA ACO RED.-TREF.SAE 1020 - 5/8"</v>
      </c>
      <c r="C924" s="6" t="str">
        <f>"41440148"</f>
        <v>41440148</v>
      </c>
      <c r="D924" s="10"/>
      <c r="E924" s="13" t="s">
        <v>14</v>
      </c>
    </row>
    <row r="925" spans="1:5" x14ac:dyDescent="0.25">
      <c r="A925" s="4">
        <v>13.385</v>
      </c>
      <c r="B925" t="str">
        <f>"BARRA ACO LAM. RED.SAE 1020 -7/8"""</f>
        <v>BARRA ACO LAM. RED.SAE 1020 -7/8"</v>
      </c>
      <c r="C925" t="str">
        <f>"41440149"</f>
        <v>41440149</v>
      </c>
      <c r="D925" s="9"/>
      <c r="E925" s="13" t="s">
        <v>14</v>
      </c>
    </row>
    <row r="926" spans="1:5" x14ac:dyDescent="0.25">
      <c r="A926" s="5">
        <v>1.4419999999999999</v>
      </c>
      <c r="B926" s="6" t="str">
        <f>"BARRA ACO TREF RED.SAE 1020 -3/4"""</f>
        <v>BARRA ACO TREF RED.SAE 1020 -3/4"</v>
      </c>
      <c r="C926" s="6" t="str">
        <f>"41440150"</f>
        <v>41440150</v>
      </c>
      <c r="D926" s="10"/>
      <c r="E926" s="13" t="s">
        <v>14</v>
      </c>
    </row>
    <row r="927" spans="1:5" x14ac:dyDescent="0.25">
      <c r="A927" s="4">
        <v>1.145</v>
      </c>
      <c r="B927" t="str">
        <f>"BARRA ACO TREF RED.SAE 1020 - 7/8"""</f>
        <v>BARRA ACO TREF RED.SAE 1020 - 7/8"</v>
      </c>
      <c r="C927" t="str">
        <f>"41440151"</f>
        <v>41440151</v>
      </c>
      <c r="D927" s="9"/>
      <c r="E927" s="13" t="s">
        <v>14</v>
      </c>
    </row>
    <row r="928" spans="1:5" x14ac:dyDescent="0.25">
      <c r="A928" s="5">
        <v>39.777999999999999</v>
      </c>
      <c r="B928" s="6" t="str">
        <f>"BARRA ACO TREF RED.SAE 1020 - 1"""</f>
        <v>BARRA ACO TREF RED.SAE 1020 - 1"</v>
      </c>
      <c r="C928" s="6" t="str">
        <f>"41440153"</f>
        <v>41440153</v>
      </c>
      <c r="D928" s="10"/>
      <c r="E928" s="13" t="s">
        <v>14</v>
      </c>
    </row>
    <row r="929" spans="1:5" x14ac:dyDescent="0.25">
      <c r="A929" s="4">
        <v>24.992999999999999</v>
      </c>
      <c r="B929" t="str">
        <f>"BARRA ACO TREF RD.SAE 1020 - 1.1/4"""</f>
        <v>BARRA ACO TREF RD.SAE 1020 - 1.1/4"</v>
      </c>
      <c r="C929" t="str">
        <f>"41440155"</f>
        <v>41440155</v>
      </c>
      <c r="D929" s="9"/>
      <c r="E929" s="13" t="s">
        <v>14</v>
      </c>
    </row>
    <row r="930" spans="1:5" x14ac:dyDescent="0.25">
      <c r="A930" s="5">
        <v>8.7260000000000009</v>
      </c>
      <c r="B930" s="6" t="str">
        <f>"BARRA ACO TREF RD.SAE 1020 - 1.1/2"""</f>
        <v>BARRA ACO TREF RD.SAE 1020 - 1.1/2"</v>
      </c>
      <c r="C930" s="6" t="str">
        <f>"41440156"</f>
        <v>41440156</v>
      </c>
      <c r="D930" s="10"/>
      <c r="E930" s="13" t="s">
        <v>14</v>
      </c>
    </row>
    <row r="931" spans="1:5" x14ac:dyDescent="0.25">
      <c r="A931" s="4">
        <v>6.8840000000000003</v>
      </c>
      <c r="B931" t="str">
        <f>"BARRA ACO RD.TREF.SAE 1020 - 1.3/4"""</f>
        <v>BARRA ACO RD.TREF.SAE 1020 - 1.3/4"</v>
      </c>
      <c r="C931" t="str">
        <f>"41440157"</f>
        <v>41440157</v>
      </c>
      <c r="D931" s="9"/>
      <c r="E931" s="13" t="s">
        <v>14</v>
      </c>
    </row>
    <row r="932" spans="1:5" x14ac:dyDescent="0.25">
      <c r="A932" s="5">
        <v>8.5050000000000008</v>
      </c>
      <c r="B932" s="6" t="str">
        <f>"BARRA ACO RD.TREF.SAE 1020 - 2"""</f>
        <v>BARRA ACO RD.TREF.SAE 1020 - 2"</v>
      </c>
      <c r="C932" s="6" t="str">
        <f>"41440158"</f>
        <v>41440158</v>
      </c>
      <c r="D932" s="10"/>
      <c r="E932" s="13" t="s">
        <v>14</v>
      </c>
    </row>
    <row r="933" spans="1:5" x14ac:dyDescent="0.25">
      <c r="A933" s="4">
        <v>5.3609999999999998</v>
      </c>
      <c r="B933" t="str">
        <f>"BARRA ACO RD.TREF. SAE 1020 - 2. 1/2"""</f>
        <v>BARRA ACO RD.TREF. SAE 1020 - 2. 1/2"</v>
      </c>
      <c r="C933" t="str">
        <f>"41440159"</f>
        <v>41440159</v>
      </c>
      <c r="D933" s="9"/>
      <c r="E933" s="13" t="s">
        <v>14</v>
      </c>
    </row>
    <row r="934" spans="1:5" x14ac:dyDescent="0.25">
      <c r="A934" s="5">
        <v>0.08</v>
      </c>
      <c r="B934" s="6" t="str">
        <f>"BARRA ACO RED.LAM. SAE 1020 - 4"""</f>
        <v>BARRA ACO RED.LAM. SAE 1020 - 4"</v>
      </c>
      <c r="C934" s="6" t="str">
        <f>"41440163"</f>
        <v>41440163</v>
      </c>
      <c r="D934" s="10"/>
      <c r="E934" s="13" t="s">
        <v>14</v>
      </c>
    </row>
    <row r="935" spans="1:5" x14ac:dyDescent="0.25">
      <c r="A935" s="4">
        <v>4.1559999999999997</v>
      </c>
      <c r="B935" t="str">
        <f>"BARRA ACO TREF.RD.SAE 1020 - 3"""</f>
        <v>BARRA ACO TREF.RD.SAE 1020 - 3"</v>
      </c>
      <c r="C935" t="str">
        <f>"41440168"</f>
        <v>41440168</v>
      </c>
      <c r="D935" s="9"/>
      <c r="E935" s="13" t="s">
        <v>14</v>
      </c>
    </row>
    <row r="936" spans="1:5" x14ac:dyDescent="0.25">
      <c r="A936" s="5">
        <v>0.45</v>
      </c>
      <c r="B936" s="6" t="str">
        <f>"BARRA ACO LAM.RD.SAE 1020 - 3.1/2"""</f>
        <v>BARRA ACO LAM.RD.SAE 1020 - 3.1/2"</v>
      </c>
      <c r="C936" s="6" t="str">
        <f>"41440170"</f>
        <v>41440170</v>
      </c>
      <c r="D936" s="10"/>
      <c r="E936" s="13" t="s">
        <v>14</v>
      </c>
    </row>
    <row r="937" spans="1:5" x14ac:dyDescent="0.25">
      <c r="A937" s="4">
        <v>2.306</v>
      </c>
      <c r="B937" t="str">
        <f>"BARRA DE ACO RED.- LAM.- SAE 1020 DE 4.1/4"""</f>
        <v>BARRA DE ACO RED.- LAM.- SAE 1020 DE 4.1/4"</v>
      </c>
      <c r="C937" t="str">
        <f>"41440172"</f>
        <v>41440172</v>
      </c>
      <c r="D937" s="9"/>
      <c r="E937" s="13" t="s">
        <v>14</v>
      </c>
    </row>
    <row r="938" spans="1:5" x14ac:dyDescent="0.25">
      <c r="A938" s="5">
        <v>1.2270000000000001</v>
      </c>
      <c r="B938" s="6" t="str">
        <f>"BARRA ACO LAM. RD.SAE 1020 - 5"""</f>
        <v>BARRA ACO LAM. RD.SAE 1020 - 5"</v>
      </c>
      <c r="C938" s="6" t="str">
        <f>"41440181"</f>
        <v>41440181</v>
      </c>
      <c r="D938" s="10"/>
      <c r="E938" s="13" t="s">
        <v>14</v>
      </c>
    </row>
    <row r="939" spans="1:5" x14ac:dyDescent="0.25">
      <c r="A939" s="4">
        <v>0.28000000000000003</v>
      </c>
      <c r="B939" t="str">
        <f>"BARRA DE NYLON REDONDA DE 10 mm"</f>
        <v>BARRA DE NYLON REDONDA DE 10 mm</v>
      </c>
      <c r="C939" t="str">
        <f>"41440200"</f>
        <v>41440200</v>
      </c>
      <c r="D939" s="9"/>
      <c r="E939" s="13" t="s">
        <v>14</v>
      </c>
    </row>
    <row r="940" spans="1:5" x14ac:dyDescent="0.25">
      <c r="A940" s="5">
        <v>0.58499999999999996</v>
      </c>
      <c r="B940" s="6" t="str">
        <f>"BARRA NYLON REDONDA DE 20 mm"</f>
        <v>BARRA NYLON REDONDA DE 20 mm</v>
      </c>
      <c r="C940" s="6" t="str">
        <f>"41440202"</f>
        <v>41440202</v>
      </c>
      <c r="D940" s="10"/>
      <c r="E940" s="13" t="s">
        <v>14</v>
      </c>
    </row>
    <row r="941" spans="1:5" x14ac:dyDescent="0.25">
      <c r="A941" s="4">
        <v>0.1</v>
      </c>
      <c r="B941" t="str">
        <f>"BARRA NYLON RD. DE 30 mm"</f>
        <v>BARRA NYLON RD. DE 30 mm</v>
      </c>
      <c r="C941" t="str">
        <f>"41440206"</f>
        <v>41440206</v>
      </c>
      <c r="D941" s="9"/>
      <c r="E941" s="13" t="s">
        <v>14</v>
      </c>
    </row>
    <row r="942" spans="1:5" x14ac:dyDescent="0.25">
      <c r="A942" s="5">
        <v>0.38</v>
      </c>
      <c r="B942" s="6" t="str">
        <f>"BARRA NYLON RD.  - 50 mm"</f>
        <v>BARRA NYLON RD.  - 50 mm</v>
      </c>
      <c r="C942" s="6" t="str">
        <f>"41440210"</f>
        <v>41440210</v>
      </c>
      <c r="D942" s="10"/>
      <c r="E942" s="13" t="s">
        <v>14</v>
      </c>
    </row>
    <row r="943" spans="1:5" x14ac:dyDescent="0.25">
      <c r="A943" s="4">
        <v>0.59199999999999997</v>
      </c>
      <c r="B943" t="str">
        <f>"BARRA DE NYLON REDONDA DE 55 mm"</f>
        <v>BARRA DE NYLON REDONDA DE 55 mm</v>
      </c>
      <c r="C943" t="str">
        <f>"41440211"</f>
        <v>41440211</v>
      </c>
      <c r="D943" s="9"/>
      <c r="E943" s="13" t="s">
        <v>14</v>
      </c>
    </row>
    <row r="944" spans="1:5" x14ac:dyDescent="0.25">
      <c r="A944" s="5">
        <v>0.05</v>
      </c>
      <c r="B944" s="6" t="str">
        <f>"BARRA DE NYLON REDONDA DE 65 mm"</f>
        <v>BARRA DE NYLON REDONDA DE 65 mm</v>
      </c>
      <c r="C944" s="6" t="str">
        <f>"41440213"</f>
        <v>41440213</v>
      </c>
      <c r="D944" s="10"/>
      <c r="E944" s="13" t="s">
        <v>14</v>
      </c>
    </row>
    <row r="945" spans="1:5" x14ac:dyDescent="0.25">
      <c r="A945" s="4">
        <v>0.4</v>
      </c>
      <c r="B945" t="str">
        <f>"BARRA DE NYLON REDONDA DE 85 mm"</f>
        <v>BARRA DE NYLON REDONDA DE 85 mm</v>
      </c>
      <c r="C945" t="str">
        <f>"41440217"</f>
        <v>41440217</v>
      </c>
      <c r="D945" s="9"/>
      <c r="E945" s="13" t="s">
        <v>14</v>
      </c>
    </row>
    <row r="946" spans="1:5" x14ac:dyDescent="0.25">
      <c r="A946" s="5">
        <v>0.24</v>
      </c>
      <c r="B946" s="6" t="str">
        <f>"BARRA DE NYLON REDONDA DE 100  mm"</f>
        <v>BARRA DE NYLON REDONDA DE 100  mm</v>
      </c>
      <c r="C946" s="6" t="str">
        <f>"41440250"</f>
        <v>41440250</v>
      </c>
      <c r="D946" s="10"/>
      <c r="E946" s="13" t="s">
        <v>14</v>
      </c>
    </row>
    <row r="947" spans="1:5" x14ac:dyDescent="0.25">
      <c r="A947" s="4">
        <v>1.4999999999999999E-2</v>
      </c>
      <c r="B947" t="str">
        <f>"BARRA POLIURETANO RD. 15 mm - VERMELHA"</f>
        <v>BARRA POLIURETANO RD. 15 mm - VERMELHA</v>
      </c>
      <c r="C947" t="str">
        <f>"41440301"</f>
        <v>41440301</v>
      </c>
      <c r="D947" s="9"/>
      <c r="E947" s="13" t="s">
        <v>14</v>
      </c>
    </row>
    <row r="948" spans="1:5" x14ac:dyDescent="0.25">
      <c r="A948" s="5">
        <v>0.84</v>
      </c>
      <c r="B948" s="6" t="str">
        <f>"BARRA DE POLIURETANO REDONDA 50 mm - VERMELHA"</f>
        <v>BARRA DE POLIURETANO REDONDA 50 mm - VERMELHA</v>
      </c>
      <c r="C948" s="6" t="str">
        <f>"41440320"</f>
        <v>41440320</v>
      </c>
      <c r="D948" s="10"/>
      <c r="E948" s="13" t="s">
        <v>14</v>
      </c>
    </row>
    <row r="949" spans="1:5" x14ac:dyDescent="0.25">
      <c r="A949" s="4">
        <v>9.4E-2</v>
      </c>
      <c r="B949" t="str">
        <f>"BARRA POLIURETANO RED.TARUGO D.50 VERDE"</f>
        <v>BARRA POLIURETANO RED.TARUGO D.50 VERDE</v>
      </c>
      <c r="C949" t="str">
        <f>"41440325"</f>
        <v>41440325</v>
      </c>
      <c r="D949" s="9"/>
      <c r="E949" s="13" t="s">
        <v>14</v>
      </c>
    </row>
    <row r="950" spans="1:5" x14ac:dyDescent="0.25">
      <c r="A950" s="5">
        <v>0.17</v>
      </c>
      <c r="B950" s="6" t="str">
        <f>"BARRA DE ALUMINIO RED. 2 """</f>
        <v>BARRA DE ALUMINIO RED. 2 "</v>
      </c>
      <c r="C950" s="6" t="str">
        <f>"41440503"</f>
        <v>41440503</v>
      </c>
      <c r="D950" s="10"/>
      <c r="E950" s="13" t="s">
        <v>14</v>
      </c>
    </row>
    <row r="951" spans="1:5" x14ac:dyDescent="0.25">
      <c r="A951" s="4">
        <v>0.52</v>
      </c>
      <c r="B951" t="str">
        <f>"BARRA DE ALUMINIO QUAD. 2 """</f>
        <v>BARRA DE ALUMINIO QUAD. 2 "</v>
      </c>
      <c r="C951" t="str">
        <f>"41440555"</f>
        <v>41440555</v>
      </c>
      <c r="D951" s="9"/>
      <c r="E951" s="13" t="s">
        <v>14</v>
      </c>
    </row>
    <row r="952" spans="1:5" x14ac:dyDescent="0.25">
      <c r="A952" s="5">
        <v>0.59399999999999997</v>
      </c>
      <c r="B952" s="6" t="str">
        <f>"BARRA DE ALUMINIO RED. 1.1/4"""</f>
        <v>BARRA DE ALUMINIO RED. 1.1/4"</v>
      </c>
      <c r="C952" s="6" t="str">
        <f>"41440556"</f>
        <v>41440556</v>
      </c>
      <c r="D952" s="10"/>
      <c r="E952" s="13" t="s">
        <v>14</v>
      </c>
    </row>
    <row r="953" spans="1:5" x14ac:dyDescent="0.25">
      <c r="A953" s="4">
        <v>1.016</v>
      </c>
      <c r="B953" t="str">
        <f>"BARRA DE ALUMINIO RED.2.1/2"""</f>
        <v>BARRA DE ALUMINIO RED.2.1/2"</v>
      </c>
      <c r="C953" t="str">
        <f>"41440568"</f>
        <v>41440568</v>
      </c>
      <c r="D953" s="9"/>
      <c r="E953" s="13" t="s">
        <v>14</v>
      </c>
    </row>
    <row r="954" spans="1:5" x14ac:dyDescent="0.25">
      <c r="A954" s="5">
        <v>0.16</v>
      </c>
      <c r="B954" s="6" t="str">
        <f>"BARRA DE ALUMIN. RET.  4"" X  1"""</f>
        <v>BARRA DE ALUMIN. RET.  4" X  1"</v>
      </c>
      <c r="C954" s="6" t="str">
        <f>"41440575"</f>
        <v>41440575</v>
      </c>
      <c r="D954" s="10"/>
      <c r="E954" s="13" t="s">
        <v>14</v>
      </c>
    </row>
    <row r="955" spans="1:5" x14ac:dyDescent="0.25">
      <c r="A955" s="4">
        <v>0.28000000000000003</v>
      </c>
      <c r="B955" t="str">
        <f>"BARRA DE ALUMIN. RET.2"" X 1.1/4"""</f>
        <v>BARRA DE ALUMIN. RET.2" X 1.1/4"</v>
      </c>
      <c r="C955" t="str">
        <f>"41440576"</f>
        <v>41440576</v>
      </c>
      <c r="D955" s="9"/>
      <c r="E955" s="13" t="s">
        <v>14</v>
      </c>
    </row>
    <row r="956" spans="1:5" x14ac:dyDescent="0.25">
      <c r="A956" s="5">
        <v>1.56</v>
      </c>
      <c r="B956" s="6" t="str">
        <f>"BARRA DE ACO INOX  REDONDA  1/4 """</f>
        <v>BARRA DE ACO INOX  REDONDA  1/4 "</v>
      </c>
      <c r="C956" s="6" t="str">
        <f>"41441001"</f>
        <v>41441001</v>
      </c>
      <c r="D956" s="10"/>
      <c r="E956" s="13" t="s">
        <v>14</v>
      </c>
    </row>
    <row r="957" spans="1:5" x14ac:dyDescent="0.25">
      <c r="A957" s="4">
        <v>4.4999999999999998E-2</v>
      </c>
      <c r="B957" t="str">
        <f>"BARRA BRONZE TM23 - D= 2. 1/4"" POL."</f>
        <v>BARRA BRONZE TM23 - D= 2. 1/4" POL.</v>
      </c>
      <c r="C957" t="str">
        <f>"41441207"</f>
        <v>41441207</v>
      </c>
      <c r="D957" s="9"/>
      <c r="E957" s="13" t="s">
        <v>14</v>
      </c>
    </row>
    <row r="958" spans="1:5" x14ac:dyDescent="0.25">
      <c r="A958" s="5">
        <v>0.06</v>
      </c>
      <c r="B958" s="6" t="str">
        <f>"BARRA DE LATÃO- 1/4 "" REDONDA"</f>
        <v>BARRA DE LATÃO- 1/4 " REDONDA</v>
      </c>
      <c r="C958" s="6" t="str">
        <f>"41441306"</f>
        <v>41441306</v>
      </c>
      <c r="D958" s="10"/>
      <c r="E958" s="13" t="s">
        <v>14</v>
      </c>
    </row>
    <row r="959" spans="1:5" x14ac:dyDescent="0.25">
      <c r="A959" s="4">
        <v>3.0230000000000001</v>
      </c>
      <c r="B959" t="str">
        <f>"BARRA DE AÇO ROSCADA M10 - zincada"</f>
        <v>BARRA DE AÇO ROSCADA M10 - zincada</v>
      </c>
      <c r="C959" t="str">
        <f>"41441515"</f>
        <v>41441515</v>
      </c>
      <c r="D959" s="9"/>
      <c r="E959" s="13" t="s">
        <v>14</v>
      </c>
    </row>
    <row r="960" spans="1:5" x14ac:dyDescent="0.25">
      <c r="A960" s="5">
        <v>0.26</v>
      </c>
      <c r="B960" s="6" t="str">
        <f>"BARRA DE AÇO ROSCADA M16"</f>
        <v>BARRA DE AÇO ROSCADA M16</v>
      </c>
      <c r="C960" s="6" t="str">
        <f>"41441522"</f>
        <v>41441522</v>
      </c>
      <c r="D960" s="10"/>
      <c r="E960" s="13" t="s">
        <v>14</v>
      </c>
    </row>
    <row r="961" spans="1:5" x14ac:dyDescent="0.25">
      <c r="A961" s="4">
        <v>1.8</v>
      </c>
      <c r="B961" t="str">
        <f>"BARRA ROSCADA M30 x 3,5 SAE 1045 e 8.8 TEMP. REVENIDA"</f>
        <v>BARRA ROSCADA M30 x 3,5 SAE 1045 e 8.8 TEMP. REVENIDA</v>
      </c>
      <c r="C961" t="str">
        <f>"41441533"</f>
        <v>41441533</v>
      </c>
      <c r="D961" s="9"/>
      <c r="E961" s="13" t="s">
        <v>14</v>
      </c>
    </row>
    <row r="962" spans="1:5" x14ac:dyDescent="0.25">
      <c r="A962" s="5">
        <v>4.8150000000000004</v>
      </c>
      <c r="B962" s="6" t="str">
        <f>"BARRA DE PERFIL DE ALUMINIO 30 X 30 BASIO"</f>
        <v>BARRA DE PERFIL DE ALUMINIO 30 X 30 BASIO</v>
      </c>
      <c r="C962" s="6" t="str">
        <f>"41449971"</f>
        <v>41449971</v>
      </c>
      <c r="D962" s="10"/>
      <c r="E962" s="13" t="s">
        <v>14</v>
      </c>
    </row>
    <row r="963" spans="1:5" x14ac:dyDescent="0.25">
      <c r="A963" s="4">
        <v>1</v>
      </c>
      <c r="B963" t="str">
        <f>"BOMBA PNEUMATICA DUPLO DIAFRAGMA - DF30 1/2"""</f>
        <v>BOMBA PNEUMATICA DUPLO DIAFRAGMA - DF30 1/2"</v>
      </c>
      <c r="C963" t="str">
        <f>"41590205"</f>
        <v>41590205</v>
      </c>
      <c r="D963" s="9"/>
      <c r="E963" s="13" t="s">
        <v>14</v>
      </c>
    </row>
    <row r="964" spans="1:5" x14ac:dyDescent="0.25">
      <c r="A964" s="5">
        <v>17</v>
      </c>
      <c r="B964" s="6" t="str">
        <f>"BOMBA PNEUMATICA DUPLO DIAFRAGMA - PA5113 - F04 - 1/2"""</f>
        <v>BOMBA PNEUMATICA DUPLO DIAFRAGMA - PA5113 - F04 - 1/2"</v>
      </c>
      <c r="C964" s="6" t="str">
        <f>"41590306"</f>
        <v>41590306</v>
      </c>
      <c r="D964" s="10"/>
      <c r="E964" s="13" t="s">
        <v>14</v>
      </c>
    </row>
    <row r="965" spans="1:5" x14ac:dyDescent="0.25">
      <c r="A965" s="4">
        <v>10</v>
      </c>
      <c r="B965" t="str">
        <f>"BOTAO P/ ACIONAMENTO MECANICO - GN 617 - 5 - A SEM PORCA"</f>
        <v>BOTAO P/ ACIONAMENTO MECANICO - GN 617 - 5 - A SEM PORCA</v>
      </c>
      <c r="C965" t="str">
        <f>"41620500"</f>
        <v>41620500</v>
      </c>
      <c r="D965" s="9"/>
      <c r="E965" s="13" t="s">
        <v>14</v>
      </c>
    </row>
    <row r="966" spans="1:5" x14ac:dyDescent="0.25">
      <c r="A966" s="5">
        <v>32</v>
      </c>
      <c r="B966" s="6" t="str">
        <f>"BUCHA NYLON S8 C/ PARAF. FENDA 4,8 X 38"</f>
        <v>BUCHA NYLON S8 C/ PARAF. FENDA 4,8 X 38</v>
      </c>
      <c r="C966" s="6" t="str">
        <f>"41680208"</f>
        <v>41680208</v>
      </c>
      <c r="D966" s="10"/>
      <c r="E966" s="13" t="s">
        <v>14</v>
      </c>
    </row>
    <row r="967" spans="1:5" x14ac:dyDescent="0.25">
      <c r="A967" s="4">
        <v>2</v>
      </c>
      <c r="B967" t="str">
        <f>"BUCHA REDUCAO SEXT.3/4"" x 1/2"" BSP - INOX ACI - 9"</f>
        <v>BUCHA REDUCAO SEXT.3/4" x 1/2" BSP - INOX ACI - 9</v>
      </c>
      <c r="C967" t="str">
        <f>"41680701"</f>
        <v>41680701</v>
      </c>
      <c r="D967" s="9"/>
      <c r="E967" s="13" t="s">
        <v>14</v>
      </c>
    </row>
    <row r="968" spans="1:5" x14ac:dyDescent="0.25">
      <c r="A968" s="5">
        <v>32</v>
      </c>
      <c r="B968" s="6" t="str">
        <f>"BUCHA REDUCÁO 1.1/4""  X 1/2 ""  BSP AÇO INOX"</f>
        <v>BUCHA REDUCÁO 1.1/4"  X 1/2 "  BSP AÇO INOX</v>
      </c>
      <c r="C968" s="6" t="str">
        <f>"41681021"</f>
        <v>41681021</v>
      </c>
      <c r="D968" s="10"/>
      <c r="E968" s="13" t="s">
        <v>14</v>
      </c>
    </row>
    <row r="969" spans="1:5" x14ac:dyDescent="0.25">
      <c r="A969" s="4">
        <v>1</v>
      </c>
      <c r="B969" t="str">
        <f>"BUJAO C/ SEXTAVADO INTERNO 1/2"" NPTF DIN 906"</f>
        <v>BUJAO C/ SEXTAVADO INTERNO 1/2" NPTF DIN 906</v>
      </c>
      <c r="C969" t="str">
        <f>"41700010"</f>
        <v>41700010</v>
      </c>
      <c r="D969" s="9"/>
      <c r="E969" s="13" t="s">
        <v>14</v>
      </c>
    </row>
    <row r="970" spans="1:5" x14ac:dyDescent="0.25">
      <c r="A970" s="5">
        <v>1</v>
      </c>
      <c r="B970" s="6" t="str">
        <f>"BUJAO DIN 906  3/4"" NPTF COM SEXTAVADO INTERNO"</f>
        <v>BUJAO DIN 906  3/4" NPTF COM SEXTAVADO INTERNO</v>
      </c>
      <c r="C970" s="6" t="str">
        <f>"41700011"</f>
        <v>41700011</v>
      </c>
      <c r="D970" s="10"/>
      <c r="E970" s="13" t="s">
        <v>14</v>
      </c>
    </row>
    <row r="971" spans="1:5" x14ac:dyDescent="0.25">
      <c r="A971" s="4">
        <v>16</v>
      </c>
      <c r="B971" t="str">
        <f>"CABO ALÇA  GN 565-26-112-BL"</f>
        <v>CABO ALÇA  GN 565-26-112-BL</v>
      </c>
      <c r="C971" t="str">
        <f>"41760130"</f>
        <v>41760130</v>
      </c>
      <c r="D971" s="9"/>
      <c r="E971" s="13" t="s">
        <v>14</v>
      </c>
    </row>
    <row r="972" spans="1:5" x14ac:dyDescent="0.25">
      <c r="A972" s="5">
        <v>34</v>
      </c>
      <c r="B972" s="6" t="str">
        <f>"CALÇO  CONICO - M 10 - DIN 434"</f>
        <v>CALÇO  CONICO - M 10 - DIN 434</v>
      </c>
      <c r="C972" s="6" t="str">
        <f>"41840002"</f>
        <v>41840002</v>
      </c>
      <c r="D972" s="10"/>
      <c r="E972" s="13" t="s">
        <v>14</v>
      </c>
    </row>
    <row r="973" spans="1:5" x14ac:dyDescent="0.25">
      <c r="A973" s="4">
        <v>2</v>
      </c>
      <c r="B973" t="str">
        <f>"CAMISA DIAFRAGMA"</f>
        <v>CAMISA DIAFRAGMA</v>
      </c>
      <c r="C973" t="str">
        <f>"41885326"</f>
        <v>41885326</v>
      </c>
      <c r="D973" s="9"/>
      <c r="E973" s="13" t="s">
        <v>14</v>
      </c>
    </row>
    <row r="974" spans="1:5" x14ac:dyDescent="0.25">
      <c r="A974" s="5">
        <v>8.9711111112000008</v>
      </c>
      <c r="B974" s="6" t="str">
        <f>"CANTONEIRA DE AÇO 1/8"" X 1.1/2"""</f>
        <v>CANTONEIRA DE AÇO 1/8" X 1.1/2"</v>
      </c>
      <c r="C974" s="6" t="str">
        <f>"41920002"</f>
        <v>41920002</v>
      </c>
      <c r="D974" s="10"/>
      <c r="E974" s="13" t="s">
        <v>14</v>
      </c>
    </row>
    <row r="975" spans="1:5" x14ac:dyDescent="0.25">
      <c r="A975" s="4">
        <v>4.3659999999999997</v>
      </c>
      <c r="B975" t="str">
        <f>"CANTONEIRA DE AÇO 1/4"" X 1.1/2"""</f>
        <v>CANTONEIRA DE AÇO 1/4" X 1.1/2"</v>
      </c>
      <c r="C975" t="str">
        <f>"41920003"</f>
        <v>41920003</v>
      </c>
      <c r="D975" s="9"/>
      <c r="E975" s="13" t="s">
        <v>14</v>
      </c>
    </row>
    <row r="976" spans="1:5" x14ac:dyDescent="0.25">
      <c r="A976" s="5">
        <v>0.84</v>
      </c>
      <c r="B976" s="6" t="str">
        <f>"CANTONEIRA DE AÇO 3/16"" X 3"""</f>
        <v>CANTONEIRA DE AÇO 3/16" X 3"</v>
      </c>
      <c r="C976" s="6" t="str">
        <f>"41920005"</f>
        <v>41920005</v>
      </c>
      <c r="D976" s="10"/>
      <c r="E976" s="13" t="s">
        <v>14</v>
      </c>
    </row>
    <row r="977" spans="1:5" x14ac:dyDescent="0.25">
      <c r="A977" s="4">
        <v>4.7</v>
      </c>
      <c r="B977" t="str">
        <f>"CANTONEIRA DE AÇO 1/8"" X 3/4"""</f>
        <v>CANTONEIRA DE AÇO 1/8" X 3/4"</v>
      </c>
      <c r="C977" t="str">
        <f>"41920006"</f>
        <v>41920006</v>
      </c>
      <c r="D977" s="9"/>
      <c r="E977" s="13" t="s">
        <v>14</v>
      </c>
    </row>
    <row r="978" spans="1:5" x14ac:dyDescent="0.25">
      <c r="A978" s="5">
        <v>1.4553333333</v>
      </c>
      <c r="B978" s="6" t="str">
        <f>"CANTONEIRA DE AÇO 1/8"" X 1.1/4"""</f>
        <v>CANTONEIRA DE AÇO 1/8" X 1.1/4"</v>
      </c>
      <c r="C978" s="6" t="str">
        <f>"41920010"</f>
        <v>41920010</v>
      </c>
      <c r="D978" s="10"/>
      <c r="E978" s="13" t="s">
        <v>14</v>
      </c>
    </row>
    <row r="979" spans="1:5" x14ac:dyDescent="0.25">
      <c r="A979" s="4">
        <v>2012.81</v>
      </c>
      <c r="B979" t="str">
        <f>"CHAPA DE AÇO CARBONO 1,5 mm"</f>
        <v>CHAPA DE AÇO CARBONO 1,5 mm</v>
      </c>
      <c r="C979" t="str">
        <f>"42020000"</f>
        <v>42020000</v>
      </c>
      <c r="D979" s="9"/>
      <c r="E979" s="13" t="s">
        <v>14</v>
      </c>
    </row>
    <row r="980" spans="1:5" x14ac:dyDescent="0.25">
      <c r="A980" s="5">
        <v>1280.625</v>
      </c>
      <c r="B980" s="6" t="str">
        <f>"CHAPA AÇO CARBONO 2,5/2,65  mm"</f>
        <v>CHAPA AÇO CARBONO 2,5/2,65  mm</v>
      </c>
      <c r="C980" s="6" t="str">
        <f>"42020001"</f>
        <v>42020001</v>
      </c>
      <c r="D980" s="10"/>
      <c r="E980" s="13" t="s">
        <v>14</v>
      </c>
    </row>
    <row r="981" spans="1:5" x14ac:dyDescent="0.25">
      <c r="A981" s="4">
        <v>3.5</v>
      </c>
      <c r="B981" t="str">
        <f>"CHAPA DE AÇO SAE - 1006"</f>
        <v>CHAPA DE AÇO SAE - 1006</v>
      </c>
      <c r="C981" t="str">
        <f>"42020027"</f>
        <v>42020027</v>
      </c>
      <c r="D981" s="9"/>
      <c r="E981" s="13" t="s">
        <v>14</v>
      </c>
    </row>
    <row r="982" spans="1:5" x14ac:dyDescent="0.25">
      <c r="A982" s="5">
        <v>124.18</v>
      </c>
      <c r="B982" s="6" t="str">
        <f>"CHAPA ACO INOX 304 - 1,5mm - POLIDO DOS DOIS LADOS"</f>
        <v>CHAPA ACO INOX 304 - 1,5mm - POLIDO DOS DOIS LADOS</v>
      </c>
      <c r="C982" s="6" t="str">
        <f>"42020067"</f>
        <v>42020067</v>
      </c>
      <c r="D982" s="10"/>
      <c r="E982" s="13" t="s">
        <v>14</v>
      </c>
    </row>
    <row r="983" spans="1:5" x14ac:dyDescent="0.25">
      <c r="A983" s="4">
        <v>10.199999999999999</v>
      </c>
      <c r="B983" t="str">
        <f>"CHAPA DE ACO INOX 430 - 0,4"</f>
        <v>CHAPA DE ACO INOX 430 - 0,4</v>
      </c>
      <c r="C983" t="str">
        <f>"42020068"</f>
        <v>42020068</v>
      </c>
      <c r="D983" s="9"/>
      <c r="E983" s="13" t="s">
        <v>14</v>
      </c>
    </row>
    <row r="984" spans="1:5" x14ac:dyDescent="0.25">
      <c r="A984" s="5">
        <v>2</v>
      </c>
      <c r="B984" s="6" t="str">
        <f>"CHAPA COMPENSADO LAMINADO 2,2 m X 1,6 m X 20 mm"</f>
        <v>CHAPA COMPENSADO LAMINADO 2,2 m X 1,6 m X 20 mm</v>
      </c>
      <c r="C984" s="6" t="str">
        <f>"42020107"</f>
        <v>42020107</v>
      </c>
      <c r="D984" s="10"/>
      <c r="E984" s="13" t="s">
        <v>14</v>
      </c>
    </row>
    <row r="985" spans="1:5" x14ac:dyDescent="0.25">
      <c r="A985" s="4">
        <v>0.25</v>
      </c>
      <c r="B985" t="str">
        <f>"CHAPA DE POLICARBONATO LEITOSO COMPACTO - 2,0 x 2050 x 3050"</f>
        <v>CHAPA DE POLICARBONATO LEITOSO COMPACTO - 2,0 x 2050 x 3050</v>
      </c>
      <c r="C985" t="str">
        <f>"42020217"</f>
        <v>42020217</v>
      </c>
      <c r="D985" s="9"/>
      <c r="E985" s="13" t="s">
        <v>14</v>
      </c>
    </row>
    <row r="986" spans="1:5" x14ac:dyDescent="0.25">
      <c r="A986" s="5">
        <v>1</v>
      </c>
      <c r="B986" s="6" t="str">
        <f>"CHAPA DE POLICARBONATO CRISTAL - 3,0 x 1219 x 3048"</f>
        <v>CHAPA DE POLICARBONATO CRISTAL - 3,0 x 1219 x 3048</v>
      </c>
      <c r="C986" s="6" t="str">
        <f>"42020218"</f>
        <v>42020218</v>
      </c>
      <c r="D986" s="10"/>
      <c r="E986" s="13" t="s">
        <v>14</v>
      </c>
    </row>
    <row r="987" spans="1:5" x14ac:dyDescent="0.25">
      <c r="A987" s="4">
        <v>1.6495</v>
      </c>
      <c r="B987" t="str">
        <f>"CHAPA ACM PRETO FOSCO 3,0 x 1500 x 5000 x 0,21mm"</f>
        <v>CHAPA ACM PRETO FOSCO 3,0 x 1500 x 5000 x 0,21mm</v>
      </c>
      <c r="C987" t="str">
        <f>"42020230"</f>
        <v>42020230</v>
      </c>
      <c r="D987" s="9"/>
      <c r="E987" s="13" t="s">
        <v>14</v>
      </c>
    </row>
    <row r="988" spans="1:5" x14ac:dyDescent="0.25">
      <c r="A988" s="5">
        <v>0.15175</v>
      </c>
      <c r="B988" s="6" t="str">
        <f>"CHAPA DE PVC RIGIDA BRANCA 3,0 X 1000 X 2000"</f>
        <v>CHAPA DE PVC RIGIDA BRANCA 3,0 X 1000 X 2000</v>
      </c>
      <c r="C988" s="6" t="str">
        <f>"42020650"</f>
        <v>42020650</v>
      </c>
      <c r="D988" s="10"/>
      <c r="E988" s="13" t="s">
        <v>14</v>
      </c>
    </row>
    <row r="989" spans="1:5" x14ac:dyDescent="0.25">
      <c r="A989" s="4">
        <v>0.15</v>
      </c>
      <c r="B989" t="str">
        <f>"CHAPA DE PETG  4,0 x 1220 x 2440"</f>
        <v>CHAPA DE PETG  4,0 x 1220 x 2440</v>
      </c>
      <c r="C989" t="str">
        <f>"42020651"</f>
        <v>42020651</v>
      </c>
      <c r="D989" s="9"/>
      <c r="E989" s="13" t="s">
        <v>14</v>
      </c>
    </row>
    <row r="990" spans="1:5" x14ac:dyDescent="0.25">
      <c r="A990" s="5">
        <v>0.28000000000000003</v>
      </c>
      <c r="B990" s="6" t="str">
        <f>"CHAVETA RETA B - 6 X 6 X 500  - DIN 6885"</f>
        <v>CHAVETA RETA B - 6 X 6 X 500  - DIN 6885</v>
      </c>
      <c r="C990" s="6" t="str">
        <f>"42060503"</f>
        <v>42060503</v>
      </c>
      <c r="D990" s="10"/>
      <c r="E990" s="13" t="s">
        <v>14</v>
      </c>
    </row>
    <row r="991" spans="1:5" x14ac:dyDescent="0.25">
      <c r="A991" s="4">
        <v>0.32</v>
      </c>
      <c r="B991" t="str">
        <f>"CHAVETA RETA B - 7 X 8 X 500  - DIN 6885"</f>
        <v>CHAVETA RETA B - 7 X 8 X 500  - DIN 6885</v>
      </c>
      <c r="C991" t="str">
        <f>"42060504"</f>
        <v>42060504</v>
      </c>
      <c r="D991" s="9"/>
      <c r="E991" s="13" t="s">
        <v>14</v>
      </c>
    </row>
    <row r="992" spans="1:5" x14ac:dyDescent="0.25">
      <c r="A992" s="5">
        <v>0.24</v>
      </c>
      <c r="B992" s="6" t="str">
        <f>"CHAVETA RETA B - 8 X 10 X 500  - DIN 6885"</f>
        <v>CHAVETA RETA B - 8 X 10 X 500  - DIN 6885</v>
      </c>
      <c r="C992" s="6" t="str">
        <f>"42060505"</f>
        <v>42060505</v>
      </c>
      <c r="D992" s="10"/>
      <c r="E992" s="13" t="s">
        <v>14</v>
      </c>
    </row>
    <row r="993" spans="1:5" x14ac:dyDescent="0.25">
      <c r="A993" s="4">
        <v>6.6000000000000003E-2</v>
      </c>
      <c r="B993" t="str">
        <f>"CHAVETA RETA B - 9 X 14 X 500  - DIN 6885"</f>
        <v>CHAVETA RETA B - 9 X 14 X 500  - DIN 6885</v>
      </c>
      <c r="C993" t="str">
        <f>"42060506"</f>
        <v>42060506</v>
      </c>
      <c r="D993" s="9"/>
      <c r="E993" s="13" t="s">
        <v>14</v>
      </c>
    </row>
    <row r="994" spans="1:5" x14ac:dyDescent="0.25">
      <c r="A994" s="5">
        <v>0.42</v>
      </c>
      <c r="B994" s="6" t="str">
        <f>"CHAVETA RETA B - 8 X 12 X 500  - DIN 6885"</f>
        <v>CHAVETA RETA B - 8 X 12 X 500  - DIN 6885</v>
      </c>
      <c r="C994" s="6" t="str">
        <f>"42060510"</f>
        <v>42060510</v>
      </c>
      <c r="D994" s="10"/>
      <c r="E994" s="13" t="s">
        <v>14</v>
      </c>
    </row>
    <row r="995" spans="1:5" x14ac:dyDescent="0.25">
      <c r="A995" s="4">
        <v>72</v>
      </c>
      <c r="B995" t="str">
        <f>"CHUMBADOR C/ PRISIONEIRO   3/8"" X 110   E-38212"</f>
        <v>CHUMBADOR C/ PRISIONEIRO   3/8" X 110   E-38212</v>
      </c>
      <c r="C995" t="str">
        <f>"42080001"</f>
        <v>42080001</v>
      </c>
      <c r="D995" s="9"/>
      <c r="E995" s="13" t="s">
        <v>14</v>
      </c>
    </row>
    <row r="996" spans="1:5" x14ac:dyDescent="0.25">
      <c r="A996" s="5">
        <v>4</v>
      </c>
      <c r="B996" s="6" t="str">
        <f>"CHUMBADOR C/ PRISIONEIRO   1/4"" X 90"</f>
        <v>CHUMBADOR C/ PRISIONEIRO   1/4" X 90</v>
      </c>
      <c r="C996" s="6" t="str">
        <f>"42080005"</f>
        <v>42080005</v>
      </c>
      <c r="D996" s="10"/>
      <c r="E996" s="13" t="s">
        <v>14</v>
      </c>
    </row>
    <row r="997" spans="1:5" x14ac:dyDescent="0.25">
      <c r="A997" s="4">
        <v>4</v>
      </c>
      <c r="B997" t="str">
        <f>"COLA PROFISSIONAL IND 1,8Kg 2XC"</f>
        <v>COLA PROFISSIONAL IND 1,8Kg 2XC</v>
      </c>
      <c r="C997" t="str">
        <f>"42160502"</f>
        <v>42160502</v>
      </c>
      <c r="D997" s="9"/>
      <c r="E997" s="13" t="s">
        <v>14</v>
      </c>
    </row>
    <row r="998" spans="1:5" x14ac:dyDescent="0.25">
      <c r="A998" s="5">
        <v>8</v>
      </c>
      <c r="B998" s="6" t="str">
        <f>"CORREIA SINCRONIZADA HTD 640 8 M - 30"</f>
        <v>CORREIA SINCRONIZADA HTD 640 8 M - 30</v>
      </c>
      <c r="C998" s="6" t="str">
        <f>"42480005"</f>
        <v>42480005</v>
      </c>
      <c r="D998" s="10"/>
      <c r="E998" s="13" t="s">
        <v>14</v>
      </c>
    </row>
    <row r="999" spans="1:5" x14ac:dyDescent="0.25">
      <c r="A999" s="4">
        <v>4</v>
      </c>
      <c r="B999" t="str">
        <f>"CORREIA SINCRONIZADA HTD 1440 8M-50"</f>
        <v>CORREIA SINCRONIZADA HTD 1440 8M-50</v>
      </c>
      <c r="C999" t="str">
        <f>"42480012"</f>
        <v>42480012</v>
      </c>
      <c r="D999" s="9"/>
      <c r="E999" s="13" t="s">
        <v>14</v>
      </c>
    </row>
    <row r="1000" spans="1:5" x14ac:dyDescent="0.25">
      <c r="A1000" s="5">
        <v>4</v>
      </c>
      <c r="B1000" s="6" t="str">
        <f>"CORREIA SINCRONIZADA HTD 1800 8M-50"</f>
        <v>CORREIA SINCRONIZADA HTD 1800 8M-50</v>
      </c>
      <c r="C1000" s="6" t="str">
        <f>"42480016"</f>
        <v>42480016</v>
      </c>
      <c r="D1000" s="10"/>
      <c r="E1000" s="13" t="s">
        <v>14</v>
      </c>
    </row>
    <row r="1001" spans="1:5" x14ac:dyDescent="0.25">
      <c r="A1001" s="4">
        <v>1</v>
      </c>
      <c r="B1001" t="str">
        <f>"CORREIA SINCRONIZADA 1280 8 M - 50"</f>
        <v>CORREIA SINCRONIZADA 1280 8 M - 50</v>
      </c>
      <c r="C1001" t="str">
        <f>"42480036"</f>
        <v>42480036</v>
      </c>
      <c r="D1001" s="9"/>
      <c r="E1001" s="13" t="s">
        <v>14</v>
      </c>
    </row>
    <row r="1002" spans="1:5" x14ac:dyDescent="0.25">
      <c r="A1002" s="5">
        <v>32</v>
      </c>
      <c r="B1002" s="6" t="str">
        <f>"CORREIA SINCRONIZADA HTD 370 5M 15MM"</f>
        <v>CORREIA SINCRONIZADA HTD 370 5M 15MM</v>
      </c>
      <c r="C1002" s="6" t="str">
        <f>"42480079"</f>
        <v>42480079</v>
      </c>
      <c r="D1002" s="10"/>
      <c r="E1002" s="13" t="s">
        <v>14</v>
      </c>
    </row>
    <row r="1003" spans="1:5" x14ac:dyDescent="0.25">
      <c r="A1003" s="4">
        <v>4</v>
      </c>
      <c r="B1003" t="str">
        <f>"CORRENTE ZEBRADA ELO GRANDE - AMARELO E PRETO"</f>
        <v>CORRENTE ZEBRADA ELO GRANDE - AMARELO E PRETO</v>
      </c>
      <c r="C1003" t="str">
        <f>"42490005"</f>
        <v>42490005</v>
      </c>
      <c r="D1003" s="9"/>
      <c r="E1003" s="13" t="s">
        <v>14</v>
      </c>
    </row>
    <row r="1004" spans="1:5" x14ac:dyDescent="0.25">
      <c r="A1004" s="5">
        <v>8</v>
      </c>
      <c r="B1004" s="6" t="str">
        <f>"COTOVELO  M F  90  1/4""  LATAO"</f>
        <v>COTOVELO  M F  90  1/4"  LATAO</v>
      </c>
      <c r="C1004" s="6" t="str">
        <f>"42520010"</f>
        <v>42520010</v>
      </c>
      <c r="D1004" s="10"/>
      <c r="E1004" s="13" t="s">
        <v>14</v>
      </c>
    </row>
    <row r="1005" spans="1:5" x14ac:dyDescent="0.25">
      <c r="A1005" s="4">
        <v>2</v>
      </c>
      <c r="B1005" t="str">
        <f>"COTOVELO M F 3/4"" BSP - GALVANIZADO"</f>
        <v>COTOVELO M F 3/4" BSP - GALVANIZADO</v>
      </c>
      <c r="C1005" t="str">
        <f>"42520012"</f>
        <v>42520012</v>
      </c>
      <c r="D1005" s="9"/>
      <c r="E1005" s="13" t="s">
        <v>14</v>
      </c>
    </row>
    <row r="1006" spans="1:5" x14ac:dyDescent="0.25">
      <c r="A1006" s="5">
        <v>128</v>
      </c>
      <c r="B1006" s="6" t="str">
        <f>"COTOVETO 90°  M/F  1/2""  INOX - ACI-4"</f>
        <v>COTOVETO 90°  M/F  1/2"  INOX - ACI-4</v>
      </c>
      <c r="C1006" s="6" t="str">
        <f>"42520040"</f>
        <v>42520040</v>
      </c>
      <c r="D1006" s="10"/>
      <c r="E1006" s="13" t="s">
        <v>14</v>
      </c>
    </row>
    <row r="1007" spans="1:5" x14ac:dyDescent="0.25">
      <c r="A1007" s="4">
        <v>16</v>
      </c>
      <c r="B1007" t="str">
        <f>"COTOVETO 90° FEMEA 1/2""  INOX - ACI-1"</f>
        <v>COTOVETO 90° FEMEA 1/2"  INOX - ACI-1</v>
      </c>
      <c r="C1007" t="str">
        <f>"42520041"</f>
        <v>42520041</v>
      </c>
      <c r="D1007" s="9"/>
      <c r="E1007" s="13" t="s">
        <v>14</v>
      </c>
    </row>
    <row r="1008" spans="1:5" x14ac:dyDescent="0.25">
      <c r="A1008" s="5">
        <v>20</v>
      </c>
      <c r="B1008" s="6" t="str">
        <f>"COTOVELO 90°  M/F  3/4""  INOX 304  ACI-4"</f>
        <v>COTOVELO 90°  M/F  3/4"  INOX 304  ACI-4</v>
      </c>
      <c r="C1008" s="6" t="str">
        <f>"42520042"</f>
        <v>42520042</v>
      </c>
      <c r="D1008" s="10"/>
      <c r="E1008" s="13" t="s">
        <v>14</v>
      </c>
    </row>
    <row r="1009" spans="1:5" x14ac:dyDescent="0.25">
      <c r="A1009" s="4">
        <v>8</v>
      </c>
      <c r="B1009" t="str">
        <f>"COTOVELO 90°  M/F  1 1/4""  INOX - ACI-4"</f>
        <v>COTOVELO 90°  M/F  1 1/4"  INOX - ACI-4</v>
      </c>
      <c r="C1009" t="str">
        <f>"42520052"</f>
        <v>42520052</v>
      </c>
      <c r="D1009" s="9"/>
      <c r="E1009" s="13" t="s">
        <v>14</v>
      </c>
    </row>
    <row r="1010" spans="1:5" x14ac:dyDescent="0.25">
      <c r="A1010" s="5">
        <v>24</v>
      </c>
      <c r="B1010" s="6" t="str">
        <f>"COXIM VIBRA-STOP Nº 2 ROSCA 3/8"""</f>
        <v>COXIM VIBRA-STOP Nº 2 ROSCA 3/8"</v>
      </c>
      <c r="C1010" s="6" t="str">
        <f>"42540001"</f>
        <v>42540001</v>
      </c>
      <c r="D1010" s="10"/>
      <c r="E1010" s="13" t="s">
        <v>14</v>
      </c>
    </row>
    <row r="1011" spans="1:5" x14ac:dyDescent="0.25">
      <c r="A1011" s="4">
        <v>1</v>
      </c>
      <c r="B1011" t="str">
        <f>"DISCO Ø610-M-25-CB - Disco c/cubo para TTEF 1012 130 X180"</f>
        <v>DISCO Ø610-M-25-CB - Disco c/cubo para TTEF 1012 130 X180</v>
      </c>
      <c r="C1011" t="str">
        <f>"42720010"</f>
        <v>42720010</v>
      </c>
      <c r="D1011" s="9"/>
      <c r="E1011" s="13" t="s">
        <v>14</v>
      </c>
    </row>
    <row r="1012" spans="1:5" x14ac:dyDescent="0.25">
      <c r="A1012" s="5">
        <v>42</v>
      </c>
      <c r="B1012" s="6" t="str">
        <f>"DOBRADIÇA PLANA P/ 180G - 50 X 50 mm - s/ acessorios fixação"</f>
        <v>DOBRADIÇA PLANA P/ 180G - 50 X 50 mm - s/ acessorios fixação</v>
      </c>
      <c r="C1012" s="6" t="str">
        <f>"42800001"</f>
        <v>42800001</v>
      </c>
      <c r="D1012" s="10"/>
      <c r="E1012" s="13" t="s">
        <v>14</v>
      </c>
    </row>
    <row r="1013" spans="1:5" x14ac:dyDescent="0.25">
      <c r="A1013" s="4">
        <v>2</v>
      </c>
      <c r="B1013" t="str">
        <f>"EIXO LINEAR Ø16 h6 x 205mm AÇO TEMPERADO"</f>
        <v>EIXO LINEAR Ø16 h6 x 205mm AÇO TEMPERADO</v>
      </c>
      <c r="C1013" t="str">
        <f>"42905293"</f>
        <v>42905293</v>
      </c>
      <c r="D1013" s="9"/>
      <c r="E1013" s="13" t="s">
        <v>14</v>
      </c>
    </row>
    <row r="1014" spans="1:5" x14ac:dyDescent="0.25">
      <c r="A1014" s="5">
        <v>60</v>
      </c>
      <c r="B1014" s="6" t="str">
        <f>"ENGATE REFI. UV-D ACOPLADOR COM ROSCA FEMEA 304  3/4"" (75)"</f>
        <v>ENGATE REFI. UV-D ACOPLADOR COM ROSCA FEMEA 304  3/4" (75)</v>
      </c>
      <c r="C1014" s="6" t="str">
        <f>"43000065"</f>
        <v>43000065</v>
      </c>
      <c r="D1014" s="10"/>
      <c r="E1014" s="13" t="s">
        <v>14</v>
      </c>
    </row>
    <row r="1015" spans="1:5" x14ac:dyDescent="0.25">
      <c r="A1015" s="4">
        <v>40</v>
      </c>
      <c r="B1015" t="str">
        <f>"ENGATE REFI. UV-A ADAPTADOR C/  ROSCA FEMEA BSP  3/4* (75)"</f>
        <v>ENGATE REFI. UV-A ADAPTADOR C/  ROSCA FEMEA BSP  3/4* (75)</v>
      </c>
      <c r="C1015" t="str">
        <f>"43000070"</f>
        <v>43000070</v>
      </c>
      <c r="D1015" s="9"/>
      <c r="E1015" s="13" t="s">
        <v>14</v>
      </c>
    </row>
    <row r="1016" spans="1:5" x14ac:dyDescent="0.25">
      <c r="A1016" s="5">
        <v>1</v>
      </c>
      <c r="B1016" s="6" t="str">
        <f>"ESCADA TREPADEIRA INDUSTR. TR 151-1,40 M EM ALUMINIO"</f>
        <v>ESCADA TREPADEIRA INDUSTR. TR 151-1,40 M EM ALUMINIO</v>
      </c>
      <c r="C1016" s="6" t="str">
        <f>"43030010"</f>
        <v>43030010</v>
      </c>
      <c r="D1016" s="10"/>
      <c r="E1016" s="13" t="s">
        <v>14</v>
      </c>
    </row>
    <row r="1017" spans="1:5" x14ac:dyDescent="0.25">
      <c r="A1017" s="4">
        <v>8</v>
      </c>
      <c r="B1017" t="str">
        <f>"FECHO LINGUETA PROLONGADO 50 - 40 MM"</f>
        <v>FECHO LINGUETA PROLONGADO 50 - 40 MM</v>
      </c>
      <c r="C1017" t="str">
        <f>"43280001"</f>
        <v>43280001</v>
      </c>
      <c r="D1017" s="9"/>
      <c r="E1017" s="13" t="s">
        <v>14</v>
      </c>
    </row>
    <row r="1018" spans="1:5" x14ac:dyDescent="0.25">
      <c r="A1018" s="5">
        <v>10</v>
      </c>
      <c r="B1018" s="6" t="str">
        <f>"FECHO LINGUETA C/ MANOPLA CLICK"</f>
        <v>FECHO LINGUETA C/ MANOPLA CLICK</v>
      </c>
      <c r="C1018" s="6" t="str">
        <f>"43280120"</f>
        <v>43280120</v>
      </c>
      <c r="D1018" s="10"/>
      <c r="E1018" s="13" t="s">
        <v>14</v>
      </c>
    </row>
    <row r="1019" spans="1:5" x14ac:dyDescent="0.25">
      <c r="A1019" s="4">
        <v>2</v>
      </c>
      <c r="B1019" t="str">
        <f>"FECHO LINGUETA C/ CHAVE MAÇANETA T- 23241"</f>
        <v>FECHO LINGUETA C/ CHAVE MAÇANETA T- 23241</v>
      </c>
      <c r="C1019" t="str">
        <f>"43280130"</f>
        <v>43280130</v>
      </c>
      <c r="D1019" s="9"/>
      <c r="E1019" s="13" t="s">
        <v>14</v>
      </c>
    </row>
    <row r="1020" spans="1:5" x14ac:dyDescent="0.25">
      <c r="A1020" s="5">
        <v>2</v>
      </c>
      <c r="B1020" s="6" t="str">
        <f>"FECHO LINGUETA S/ CHAVE MAÇANETA T- 23245"</f>
        <v>FECHO LINGUETA S/ CHAVE MAÇANETA T- 23245</v>
      </c>
      <c r="C1020" s="6" t="str">
        <f>"43280135"</f>
        <v>43280135</v>
      </c>
      <c r="D1020" s="10"/>
      <c r="E1020" s="13" t="s">
        <v>14</v>
      </c>
    </row>
    <row r="1021" spans="1:5" x14ac:dyDescent="0.25">
      <c r="A1021" s="4">
        <v>1</v>
      </c>
      <c r="B1021" t="str">
        <f>"FECHO LINGUETA REDONDA ALUMINIO - 100 X 30 mm"</f>
        <v>FECHO LINGUETA REDONDA ALUMINIO - 100 X 30 mm</v>
      </c>
      <c r="C1021" t="str">
        <f>"43280305"</f>
        <v>43280305</v>
      </c>
      <c r="D1021" s="9"/>
      <c r="E1021" s="13" t="s">
        <v>14</v>
      </c>
    </row>
    <row r="1022" spans="1:5" x14ac:dyDescent="0.25">
      <c r="A1022" s="5">
        <v>12</v>
      </c>
      <c r="B1022" s="6" t="str">
        <f>"ELEMENTO FILTRANTE"</f>
        <v>ELEMENTO FILTRANTE</v>
      </c>
      <c r="C1022" s="6" t="str">
        <f>"43320010"</f>
        <v>43320010</v>
      </c>
      <c r="D1022" s="10"/>
      <c r="E1022" s="13" t="s">
        <v>14</v>
      </c>
    </row>
    <row r="1023" spans="1:5" x14ac:dyDescent="0.25">
      <c r="A1023" s="4">
        <v>18</v>
      </c>
      <c r="B1023" t="str">
        <f>"FITA DE CORTIÇA EMBORRACHADA"</f>
        <v>FITA DE CORTIÇA EMBORRACHADA</v>
      </c>
      <c r="C1023" t="str">
        <f>"43380100"</f>
        <v>43380100</v>
      </c>
      <c r="D1023" s="9"/>
      <c r="E1023" s="13" t="s">
        <v>14</v>
      </c>
    </row>
    <row r="1024" spans="1:5" x14ac:dyDescent="0.25">
      <c r="A1024" s="5">
        <v>16</v>
      </c>
      <c r="B1024" s="6" t="str">
        <f>"FITA ADESIVA DUPLA FACE SILICONE"</f>
        <v>FITA ADESIVA DUPLA FACE SILICONE</v>
      </c>
      <c r="C1024" s="6" t="str">
        <f>"43380410"</f>
        <v>43380410</v>
      </c>
      <c r="D1024" s="10"/>
      <c r="E1024" s="13" t="s">
        <v>14</v>
      </c>
    </row>
    <row r="1025" spans="1:5" x14ac:dyDescent="0.25">
      <c r="A1025" s="4">
        <v>1</v>
      </c>
      <c r="B1025" t="str">
        <f>"FITA ADESIVA DUPLA FACE SILICONE - 0,9 x 12 mm x 20 m"</f>
        <v>FITA ADESIVA DUPLA FACE SILICONE - 0,9 x 12 mm x 20 m</v>
      </c>
      <c r="C1025" t="str">
        <f>"43380411"</f>
        <v>43380411</v>
      </c>
      <c r="D1025" s="9"/>
      <c r="E1025" s="13" t="s">
        <v>14</v>
      </c>
    </row>
    <row r="1026" spans="1:5" x14ac:dyDescent="0.25">
      <c r="A1026" s="5">
        <v>1</v>
      </c>
      <c r="B1026" s="6" t="str">
        <f>"FITA DE ALUMINIO 1/2 POL. ( 0,5 X 12,7 mm) -"</f>
        <v>FITA DE ALUMINIO 1/2 POL. ( 0,5 X 12,7 mm) -</v>
      </c>
      <c r="C1026" s="6" t="str">
        <f>"43380600"</f>
        <v>43380600</v>
      </c>
      <c r="D1026" s="10"/>
      <c r="E1026" s="13" t="s">
        <v>14</v>
      </c>
    </row>
    <row r="1027" spans="1:5" x14ac:dyDescent="0.25">
      <c r="A1027" s="4">
        <v>12</v>
      </c>
      <c r="B1027" t="str">
        <f>"FITA ADESIVA ALUMINIZADA 48mm x 50 m"</f>
        <v>FITA ADESIVA ALUMINIZADA 48mm x 50 m</v>
      </c>
      <c r="C1027" t="str">
        <f>"43380700"</f>
        <v>43380700</v>
      </c>
      <c r="D1027" s="9"/>
      <c r="E1027" s="13" t="s">
        <v>14</v>
      </c>
    </row>
    <row r="1028" spans="1:5" x14ac:dyDescent="0.25">
      <c r="A1028" s="5">
        <v>1.5</v>
      </c>
      <c r="B1028" s="6" t="str">
        <f>"FLUIDO DESENGRAXANTE HPM 150"</f>
        <v>FLUIDO DESENGRAXANTE HPM 150</v>
      </c>
      <c r="C1028" s="6" t="str">
        <f>"4342F122"</f>
        <v>4342F122</v>
      </c>
      <c r="D1028" s="10"/>
      <c r="E1028" s="13" t="s">
        <v>14</v>
      </c>
    </row>
    <row r="1029" spans="1:5" x14ac:dyDescent="0.25">
      <c r="A1029" s="4">
        <v>0.3</v>
      </c>
      <c r="B1029" t="str">
        <f>"PÓ ANT-CORROSIVO HAG PÓ"</f>
        <v>PÓ ANT-CORROSIVO HAG PÓ</v>
      </c>
      <c r="C1029" t="str">
        <f>"4342F123"</f>
        <v>4342F123</v>
      </c>
      <c r="D1029" s="9"/>
      <c r="E1029" s="13" t="s">
        <v>14</v>
      </c>
    </row>
    <row r="1030" spans="1:5" x14ac:dyDescent="0.25">
      <c r="A1030" s="5">
        <v>5</v>
      </c>
      <c r="B1030" s="6" t="str">
        <f>"FLUIDO DE TRATAMENTO HAG 500"</f>
        <v>FLUIDO DE TRATAMENTO HAG 500</v>
      </c>
      <c r="C1030" s="6" t="str">
        <f>"4342F124"</f>
        <v>4342F124</v>
      </c>
      <c r="D1030" s="10"/>
      <c r="E1030" s="13" t="s">
        <v>14</v>
      </c>
    </row>
    <row r="1031" spans="1:5" x14ac:dyDescent="0.25">
      <c r="A1031" s="4">
        <v>1</v>
      </c>
      <c r="B1031" t="str">
        <f>"FLUIDO DE TRATAMENTO ANTIBACTERICIDA  HECO B 28"</f>
        <v>FLUIDO DE TRATAMENTO ANTIBACTERICIDA  HECO B 28</v>
      </c>
      <c r="C1031" t="str">
        <f>"4342F125"</f>
        <v>4342F125</v>
      </c>
      <c r="D1031" s="9"/>
      <c r="E1031" s="13" t="s">
        <v>14</v>
      </c>
    </row>
    <row r="1032" spans="1:5" x14ac:dyDescent="0.25">
      <c r="A1032" s="5">
        <v>1</v>
      </c>
      <c r="B1032" s="6" t="str">
        <f>"FREIO PNEUMÁTICO MX 25 - TWIFLEX"</f>
        <v>FREIO PNEUMÁTICO MX 25 - TWIFLEX</v>
      </c>
      <c r="C1032" s="6" t="str">
        <f>"43480000"</f>
        <v>43480000</v>
      </c>
      <c r="D1032" s="10"/>
      <c r="E1032" s="13" t="s">
        <v>14</v>
      </c>
    </row>
    <row r="1033" spans="1:5" x14ac:dyDescent="0.25">
      <c r="A1033" s="4">
        <v>4</v>
      </c>
      <c r="B1033" t="str">
        <f>"FUSO DE ESFERAS R25-5T4-FSI-1095-1190-0,05"</f>
        <v>FUSO DE ESFERAS R25-5T4-FSI-1095-1190-0,05</v>
      </c>
      <c r="C1033" t="str">
        <f>"43500030"</f>
        <v>43500030</v>
      </c>
      <c r="D1033" s="9"/>
      <c r="E1033" s="13" t="s">
        <v>14</v>
      </c>
    </row>
    <row r="1034" spans="1:5" x14ac:dyDescent="0.25">
      <c r="A1034" s="5">
        <v>4</v>
      </c>
      <c r="B1034" s="6" t="str">
        <f>"FUSO DE ESFERAS R25-5T4-FSI-1095-1190-0,05"</f>
        <v>FUSO DE ESFERAS R25-5T4-FSI-1095-1190-0,05</v>
      </c>
      <c r="C1034" s="6" t="str">
        <f>"43501957"</f>
        <v>43501957</v>
      </c>
      <c r="D1034" s="10"/>
      <c r="E1034" s="13" t="s">
        <v>14</v>
      </c>
    </row>
    <row r="1035" spans="1:5" x14ac:dyDescent="0.25">
      <c r="A1035" s="4">
        <v>8</v>
      </c>
      <c r="B1035" t="str">
        <f>"FUSO DE ESFERAS DIAMETRO 25 x 305"</f>
        <v>FUSO DE ESFERAS DIAMETRO 25 x 305</v>
      </c>
      <c r="C1035" t="str">
        <f>"43508095V01"</f>
        <v>43508095V01</v>
      </c>
      <c r="D1035" s="9"/>
      <c r="E1035" s="13" t="s">
        <v>14</v>
      </c>
    </row>
    <row r="1036" spans="1:5" x14ac:dyDescent="0.25">
      <c r="A1036" s="5">
        <v>8</v>
      </c>
      <c r="B1036" s="6" t="str">
        <f>"FUSO DE ESFERAS DIAMETRO 25 x 375"</f>
        <v>FUSO DE ESFERAS DIAMETRO 25 x 375</v>
      </c>
      <c r="C1036" s="6" t="str">
        <f>"43508095V02"</f>
        <v>43508095V02</v>
      </c>
      <c r="D1036" s="10"/>
      <c r="E1036" s="13" t="s">
        <v>14</v>
      </c>
    </row>
    <row r="1037" spans="1:5" x14ac:dyDescent="0.25">
      <c r="A1037" s="4">
        <v>16</v>
      </c>
      <c r="B1037" t="str">
        <f>"FUSO DE ESFERAS DIAMETRO 25 x 505"</f>
        <v>FUSO DE ESFERAS DIAMETRO 25 x 505</v>
      </c>
      <c r="C1037" t="str">
        <f>"43508095V03"</f>
        <v>43508095V03</v>
      </c>
      <c r="D1037" s="9"/>
      <c r="E1037" s="13" t="s">
        <v>14</v>
      </c>
    </row>
    <row r="1038" spans="1:5" x14ac:dyDescent="0.25">
      <c r="A1038" s="5">
        <v>32</v>
      </c>
      <c r="B1038" s="6" t="str">
        <f>"GAXETA  ( 75 SHORE A ) 52660 U 19 - ø 60 x ø 80 x 10"</f>
        <v>GAXETA  ( 75 SHORE A ) 52660 U 19 - ø 60 x ø 80 x 10</v>
      </c>
      <c r="C1038" s="6" t="str">
        <f>"43580002"</f>
        <v>43580002</v>
      </c>
      <c r="D1038" s="10"/>
      <c r="E1038" s="13" t="s">
        <v>14</v>
      </c>
    </row>
    <row r="1039" spans="1:5" x14ac:dyDescent="0.25">
      <c r="A1039" s="4">
        <v>4</v>
      </c>
      <c r="B1039" t="str">
        <f>"GAXETA 1870.1750"</f>
        <v>GAXETA 1870.1750</v>
      </c>
      <c r="C1039" t="str">
        <f>"43580016"</f>
        <v>43580016</v>
      </c>
      <c r="D1039" s="9"/>
      <c r="E1039" s="13" t="s">
        <v>14</v>
      </c>
    </row>
    <row r="1040" spans="1:5" x14ac:dyDescent="0.25">
      <c r="A1040" s="5">
        <v>2</v>
      </c>
      <c r="B1040" s="6" t="str">
        <f>"GRADE METALICA CROMADA DIAM. 215"</f>
        <v>GRADE METALICA CROMADA DIAM. 215</v>
      </c>
      <c r="C1040" s="6" t="str">
        <f>"43590003"</f>
        <v>43590003</v>
      </c>
      <c r="D1040" s="10"/>
      <c r="E1040" s="13" t="s">
        <v>14</v>
      </c>
    </row>
    <row r="1041" spans="1:5" x14ac:dyDescent="0.25">
      <c r="A1041" s="4">
        <v>2</v>
      </c>
      <c r="B1041" t="str">
        <f>"GRADE METALICA CROMADA DIAM. 115"</f>
        <v>GRADE METALICA CROMADA DIAM. 115</v>
      </c>
      <c r="C1041" t="str">
        <f>"43590004"</f>
        <v>43590004</v>
      </c>
      <c r="D1041" s="9"/>
      <c r="E1041" s="13" t="s">
        <v>14</v>
      </c>
    </row>
    <row r="1042" spans="1:5" x14ac:dyDescent="0.25">
      <c r="A1042" s="5">
        <v>8</v>
      </c>
      <c r="B1042" s="6" t="str">
        <f>"GRAMPO PARA CABO DE AÇO 3/16"""</f>
        <v>GRAMPO PARA CABO DE AÇO 3/16"</v>
      </c>
      <c r="C1042" s="6" t="str">
        <f>"43600001"</f>
        <v>43600001</v>
      </c>
      <c r="D1042" s="10"/>
      <c r="E1042" s="13" t="s">
        <v>14</v>
      </c>
    </row>
    <row r="1043" spans="1:5" x14ac:dyDescent="0.25">
      <c r="A1043" s="4">
        <v>40</v>
      </c>
      <c r="B1043" t="str">
        <f>"GRAXEIRA RETA M6"</f>
        <v>GRAXEIRA RETA M6</v>
      </c>
      <c r="C1043" t="str">
        <f>"43620001"</f>
        <v>43620001</v>
      </c>
      <c r="D1043" s="9"/>
      <c r="E1043" s="13" t="s">
        <v>14</v>
      </c>
    </row>
    <row r="1044" spans="1:5" x14ac:dyDescent="0.25">
      <c r="A1044" s="5">
        <v>1.8</v>
      </c>
      <c r="B1044" s="6" t="str">
        <f>"GUARNIÇÃO ESPONJOSA 20 X 20 MM"</f>
        <v>GUARNIÇÃO ESPONJOSA 20 X 20 MM</v>
      </c>
      <c r="C1044" s="6" t="str">
        <f>"43650050"</f>
        <v>43650050</v>
      </c>
      <c r="D1044" s="10"/>
      <c r="E1044" s="13" t="s">
        <v>14</v>
      </c>
    </row>
    <row r="1045" spans="1:5" x14ac:dyDescent="0.25">
      <c r="A1045" s="4">
        <v>33.700000000000003</v>
      </c>
      <c r="B1045" t="str">
        <f>"GUARNIÇÃO TIPO U 114 MÉDIA"</f>
        <v>GUARNIÇÃO TIPO U 114 MÉDIA</v>
      </c>
      <c r="C1045" t="str">
        <f>"43650051"</f>
        <v>43650051</v>
      </c>
      <c r="D1045" s="9"/>
      <c r="E1045" s="13" t="s">
        <v>14</v>
      </c>
    </row>
    <row r="1046" spans="1:5" x14ac:dyDescent="0.25">
      <c r="A1046" s="5">
        <v>8</v>
      </c>
      <c r="B1046" s="6" t="str">
        <f>"GUIA LINEAR BLOCO - HGW30 - CC - ZA - C"</f>
        <v>GUIA LINEAR BLOCO - HGW30 - CC - ZA - C</v>
      </c>
      <c r="C1046" s="6" t="str">
        <f>"43660003"</f>
        <v>43660003</v>
      </c>
      <c r="D1046" s="10"/>
      <c r="E1046" s="13" t="s">
        <v>14</v>
      </c>
    </row>
    <row r="1047" spans="1:5" x14ac:dyDescent="0.25">
      <c r="A1047" s="4">
        <v>4</v>
      </c>
      <c r="B1047" t="str">
        <f>"GUIA LINEAR TRILHO - HGR 30 - R1150-C  (E , E' = 15)"</f>
        <v>GUIA LINEAR TRILHO - HGR 30 - R1150-C  (E , E' = 15)</v>
      </c>
      <c r="C1047" t="str">
        <f>"43660052"</f>
        <v>43660052</v>
      </c>
      <c r="D1047" s="9"/>
      <c r="E1047" s="13" t="s">
        <v>14</v>
      </c>
    </row>
    <row r="1048" spans="1:5" x14ac:dyDescent="0.25">
      <c r="A1048" s="5">
        <v>24</v>
      </c>
      <c r="B1048" s="6" t="str">
        <f>"GUIA LINEAR TRILHO - HGR 30 - R830"</f>
        <v>GUIA LINEAR TRILHO - HGR 30 - R830</v>
      </c>
      <c r="C1048" s="6" t="str">
        <f>"43660070"</f>
        <v>43660070</v>
      </c>
      <c r="D1048" s="10"/>
      <c r="E1048" s="13" t="s">
        <v>14</v>
      </c>
    </row>
    <row r="1049" spans="1:5" x14ac:dyDescent="0.25">
      <c r="A1049" s="4">
        <v>48</v>
      </c>
      <c r="B1049" t="str">
        <f>"GUIA LINEAR BLOCO - HGH 20 - CA - ZA - C"</f>
        <v>GUIA LINEAR BLOCO - HGH 20 - CA - ZA - C</v>
      </c>
      <c r="C1049" t="str">
        <f>"43660100"</f>
        <v>43660100</v>
      </c>
      <c r="D1049" s="9"/>
      <c r="E1049" s="13" t="s">
        <v>14</v>
      </c>
    </row>
    <row r="1050" spans="1:5" x14ac:dyDescent="0.25">
      <c r="A1050" s="5">
        <v>96</v>
      </c>
      <c r="B1050" s="6" t="str">
        <f>"GUIA LINEAR BLOCO - CS KWD-030-SNS-C1-N-1"</f>
        <v>GUIA LINEAR BLOCO - CS KWD-030-SNS-C1-N-1</v>
      </c>
      <c r="C1050" s="6" t="str">
        <f>"43660120"</f>
        <v>43660120</v>
      </c>
      <c r="D1050" s="10"/>
      <c r="E1050" s="13" t="s">
        <v>14</v>
      </c>
    </row>
    <row r="1051" spans="1:5" x14ac:dyDescent="0.25">
      <c r="A1051" s="4">
        <v>12</v>
      </c>
      <c r="B1051" t="str">
        <f>"IMÃ DE NEODIMIO ø 15 X 5"</f>
        <v>IMÃ DE NEODIMIO ø 15 X 5</v>
      </c>
      <c r="C1051" t="str">
        <f>"43770004"</f>
        <v>43770004</v>
      </c>
      <c r="D1051" s="9"/>
      <c r="E1051" s="13" t="s">
        <v>14</v>
      </c>
    </row>
    <row r="1052" spans="1:5" x14ac:dyDescent="0.25">
      <c r="A1052" s="5">
        <v>2</v>
      </c>
      <c r="B1052" s="6" t="str">
        <f>"JUNTA ROTATIVA 1/2 NPT DIR."</f>
        <v>JUNTA ROTATIVA 1/2 NPT DIR.</v>
      </c>
      <c r="C1052" s="6" t="str">
        <f>"43920050"</f>
        <v>43920050</v>
      </c>
      <c r="D1052" s="10"/>
      <c r="E1052" s="13" t="s">
        <v>14</v>
      </c>
    </row>
    <row r="1053" spans="1:5" x14ac:dyDescent="0.25">
      <c r="A1053" s="4">
        <v>1</v>
      </c>
      <c r="B1053" t="str">
        <f>"JUNTA ROTATIVA FLUXO DUPLO 2"" BSP"</f>
        <v>JUNTA ROTATIVA FLUXO DUPLO 2" BSP</v>
      </c>
      <c r="C1053" t="str">
        <f>"43920115"</f>
        <v>43920115</v>
      </c>
      <c r="D1053" s="9"/>
      <c r="E1053" s="13" t="s">
        <v>14</v>
      </c>
    </row>
    <row r="1054" spans="1:5" x14ac:dyDescent="0.25">
      <c r="A1054" s="5">
        <v>2</v>
      </c>
      <c r="B1054" s="6" t="str">
        <f>"KIT ADAPTADOR P/ MONTAGEM EM DUTO 1283-1047"</f>
        <v>KIT ADAPTADOR P/ MONTAGEM EM DUTO 1283-1047</v>
      </c>
      <c r="C1054" s="6" t="str">
        <f>"43921022"</f>
        <v>43921022</v>
      </c>
      <c r="D1054" s="10"/>
      <c r="E1054" s="13" t="s">
        <v>14</v>
      </c>
    </row>
    <row r="1055" spans="1:5" x14ac:dyDescent="0.25">
      <c r="A1055" s="4">
        <v>2</v>
      </c>
      <c r="B1055" t="str">
        <f>"KIT ADAPTADOR INTERFACE 1283-1084"</f>
        <v>KIT ADAPTADOR INTERFACE 1283-1084</v>
      </c>
      <c r="C1055" t="str">
        <f>"43921023"</f>
        <v>43921023</v>
      </c>
      <c r="D1055" s="9"/>
      <c r="E1055" s="13" t="s">
        <v>14</v>
      </c>
    </row>
    <row r="1056" spans="1:5" x14ac:dyDescent="0.25">
      <c r="A1056" s="5">
        <v>17</v>
      </c>
      <c r="B1056" s="6" t="str">
        <f>"LÃ DE ROCHA -  25mm REFORCADO"</f>
        <v>LÃ DE ROCHA -  25mm REFORCADO</v>
      </c>
      <c r="C1056" s="6" t="str">
        <f>"43930005"</f>
        <v>43930005</v>
      </c>
      <c r="D1056" s="10"/>
      <c r="E1056" s="13" t="s">
        <v>14</v>
      </c>
    </row>
    <row r="1057" spans="1:5" x14ac:dyDescent="0.25">
      <c r="A1057" s="4">
        <v>50</v>
      </c>
      <c r="B1057" t="str">
        <f>"LAMINA AUTOAFIANTE 0,15 x 25,0 mm"</f>
        <v>LAMINA AUTOAFIANTE 0,15 x 25,0 mm</v>
      </c>
      <c r="C1057" t="str">
        <f>"43940101"</f>
        <v>43940101</v>
      </c>
      <c r="D1057" s="9"/>
      <c r="E1057" s="13" t="s">
        <v>14</v>
      </c>
    </row>
    <row r="1058" spans="1:5" x14ac:dyDescent="0.25">
      <c r="A1058" s="5">
        <v>8.6</v>
      </c>
      <c r="B1058" s="6" t="str">
        <f>"LENCOL DE BORRACHA PRETO COM 1 LONA - 3,2 mm X 1 m"</f>
        <v>LENCOL DE BORRACHA PRETO COM 1 LONA - 3,2 mm X 1 m</v>
      </c>
      <c r="C1058" s="6" t="str">
        <f>"43990150"</f>
        <v>43990150</v>
      </c>
      <c r="D1058" s="10"/>
      <c r="E1058" s="13" t="s">
        <v>14</v>
      </c>
    </row>
    <row r="1059" spans="1:5" x14ac:dyDescent="0.25">
      <c r="A1059" s="4">
        <v>2</v>
      </c>
      <c r="B1059" t="str">
        <f>"LENCOL DE PISO MOEDA"</f>
        <v>LENCOL DE PISO MOEDA</v>
      </c>
      <c r="C1059" t="str">
        <f>"43990155"</f>
        <v>43990155</v>
      </c>
      <c r="D1059" s="9"/>
      <c r="E1059" s="13" t="s">
        <v>14</v>
      </c>
    </row>
    <row r="1060" spans="1:5" x14ac:dyDescent="0.25">
      <c r="A1060" s="5">
        <v>12</v>
      </c>
      <c r="B1060" s="6" t="str">
        <f>"LUVA LISA FEMEA COM ROSCA 1/2"" INOX ACI-12B"</f>
        <v>LUVA LISA FEMEA COM ROSCA 1/2" INOX ACI-12B</v>
      </c>
      <c r="C1060" s="6" t="str">
        <f>"44080055"</f>
        <v>44080055</v>
      </c>
      <c r="D1060" s="10"/>
      <c r="E1060" s="13" t="s">
        <v>14</v>
      </c>
    </row>
    <row r="1061" spans="1:5" x14ac:dyDescent="0.25">
      <c r="A1061" s="4">
        <v>12</v>
      </c>
      <c r="B1061" t="str">
        <f>"LUVA LISA FEMEA COM ROSCA 3/4"" INOX ACI-12B"</f>
        <v>LUVA LISA FEMEA COM ROSCA 3/4" INOX ACI-12B</v>
      </c>
      <c r="C1061" t="str">
        <f>"44080056"</f>
        <v>44080056</v>
      </c>
      <c r="D1061" s="9"/>
      <c r="E1061" s="13" t="s">
        <v>14</v>
      </c>
    </row>
    <row r="1062" spans="1:5" x14ac:dyDescent="0.25">
      <c r="A1062" s="5">
        <v>2</v>
      </c>
      <c r="B1062" s="6" t="str">
        <f>"MANGUEIRA COM TRAMA ø 3/4 ''"</f>
        <v>MANGUEIRA COM TRAMA ø 3/4 ''</v>
      </c>
      <c r="C1062" s="6" t="str">
        <f>"44240002"</f>
        <v>44240002</v>
      </c>
      <c r="D1062" s="10"/>
      <c r="E1062" s="13" t="s">
        <v>14</v>
      </c>
    </row>
    <row r="1063" spans="1:5" x14ac:dyDescent="0.25">
      <c r="A1063" s="4">
        <v>4</v>
      </c>
      <c r="B1063" t="str">
        <f>"MANGUEIRA EM PU ESPIRAL 8 X 5 X 5 METROS  SEM TERMINAL"</f>
        <v>MANGUEIRA EM PU ESPIRAL 8 X 5 X 5 METROS  SEM TERMINAL</v>
      </c>
      <c r="C1063" t="str">
        <f>"44240624"</f>
        <v>44240624</v>
      </c>
      <c r="D1063" s="9"/>
      <c r="E1063" s="13" t="s">
        <v>14</v>
      </c>
    </row>
    <row r="1064" spans="1:5" x14ac:dyDescent="0.25">
      <c r="A1064" s="5">
        <v>3</v>
      </c>
      <c r="B1064" s="6" t="str">
        <f>"MANGUEIRA INDUSTRIAL  Ø3/4'' - TIPO SOLVYKLER"</f>
        <v>MANGUEIRA INDUSTRIAL  Ø3/4'' - TIPO SOLVYKLER</v>
      </c>
      <c r="C1064" s="6" t="str">
        <f>"44240807"</f>
        <v>44240807</v>
      </c>
      <c r="D1064" s="10"/>
      <c r="E1064" s="13" t="s">
        <v>14</v>
      </c>
    </row>
    <row r="1065" spans="1:5" x14ac:dyDescent="0.25">
      <c r="A1065" s="4">
        <v>3</v>
      </c>
      <c r="B1065" t="str">
        <f>"MANGUEIRA INDUSTRIAL  Ø1'' - TIPO SOLVYKLER AMARELA"</f>
        <v>MANGUEIRA INDUSTRIAL  Ø1'' - TIPO SOLVYKLER AMARELA</v>
      </c>
      <c r="C1065" t="str">
        <f>"44240808"</f>
        <v>44240808</v>
      </c>
      <c r="D1065" s="9"/>
      <c r="E1065" s="13" t="s">
        <v>14</v>
      </c>
    </row>
    <row r="1066" spans="1:5" x14ac:dyDescent="0.25">
      <c r="A1066" s="5">
        <v>70</v>
      </c>
      <c r="B1066" s="6" t="str">
        <f>"MANGUEIRA INDUSTRIAL  Ø1/2 '' - PARA SOLVENTE AMARELA"</f>
        <v>MANGUEIRA INDUSTRIAL  Ø1/2 '' - PARA SOLVENTE AMARELA</v>
      </c>
      <c r="C1066" s="6" t="str">
        <f>"44240809"</f>
        <v>44240809</v>
      </c>
      <c r="D1066" s="10"/>
      <c r="E1066" s="13" t="s">
        <v>14</v>
      </c>
    </row>
    <row r="1067" spans="1:5" x14ac:dyDescent="0.25">
      <c r="A1067" s="4">
        <v>5</v>
      </c>
      <c r="B1067" t="str">
        <f>"MANIPULO STANDART MACHO - MSM 4631 - M 10 x 50"</f>
        <v>MANIPULO STANDART MACHO - MSM 4631 - M 10 x 50</v>
      </c>
      <c r="C1067" t="str">
        <f>"44260001"</f>
        <v>44260001</v>
      </c>
      <c r="D1067" s="9"/>
      <c r="E1067" s="13" t="s">
        <v>14</v>
      </c>
    </row>
    <row r="1068" spans="1:5" x14ac:dyDescent="0.25">
      <c r="A1068" s="5">
        <v>12</v>
      </c>
      <c r="B1068" s="6" t="str">
        <f>"MANÍPULO ST. FÊMEA MSF 3526-M6"</f>
        <v>MANÍPULO ST. FÊMEA MSF 3526-M6</v>
      </c>
      <c r="C1068" s="6" t="str">
        <f>"44260008"</f>
        <v>44260008</v>
      </c>
      <c r="D1068" s="10"/>
      <c r="E1068" s="13" t="s">
        <v>14</v>
      </c>
    </row>
    <row r="1069" spans="1:5" x14ac:dyDescent="0.25">
      <c r="A1069" s="4">
        <v>0.6</v>
      </c>
      <c r="B1069" t="str">
        <f>"MANTA DE EVA - 13 MM - ANATOMICO"</f>
        <v>MANTA DE EVA - 13 MM - ANATOMICO</v>
      </c>
      <c r="C1069" t="str">
        <f>"44290510"</f>
        <v>44290510</v>
      </c>
      <c r="D1069" s="9"/>
      <c r="E1069" s="13" t="s">
        <v>14</v>
      </c>
    </row>
    <row r="1070" spans="1:5" x14ac:dyDescent="0.25">
      <c r="A1070" s="5">
        <v>2</v>
      </c>
      <c r="B1070" s="6" t="str">
        <f>"NIPLE DUPLO 1/8""  LATAO"</f>
        <v>NIPLE DUPLO 1/8"  LATAO</v>
      </c>
      <c r="C1070" s="6" t="str">
        <f>"44540008"</f>
        <v>44540008</v>
      </c>
      <c r="D1070" s="10"/>
      <c r="E1070" s="13" t="s">
        <v>14</v>
      </c>
    </row>
    <row r="1071" spans="1:5" x14ac:dyDescent="0.25">
      <c r="A1071" s="4">
        <v>24</v>
      </c>
      <c r="B1071" t="str">
        <f>"NIPLE DUPLO SEXTAVADO 1 1/4"" INOX ACI-71"</f>
        <v>NIPLE DUPLO SEXTAVADO 1 1/4" INOX ACI-71</v>
      </c>
      <c r="C1071" t="str">
        <f>"44540197"</f>
        <v>44540197</v>
      </c>
      <c r="D1071" s="9"/>
      <c r="E1071" s="13" t="s">
        <v>14</v>
      </c>
    </row>
    <row r="1072" spans="1:5" x14ac:dyDescent="0.25">
      <c r="A1072" s="5">
        <v>84</v>
      </c>
      <c r="B1072" s="6" t="str">
        <f>"NIPLE DUPLO SEXTAVADO 1/2"" INOX ACI-71"</f>
        <v>NIPLE DUPLO SEXTAVADO 1/2" INOX ACI-71</v>
      </c>
      <c r="C1072" s="6" t="str">
        <f>"44540200"</f>
        <v>44540200</v>
      </c>
      <c r="D1072" s="10"/>
      <c r="E1072" s="13" t="s">
        <v>14</v>
      </c>
    </row>
    <row r="1073" spans="1:5" x14ac:dyDescent="0.25">
      <c r="A1073" s="4">
        <v>20</v>
      </c>
      <c r="B1073" t="str">
        <f>"NIPLE DUPLO SEXTAVADO 3/4"" INOX ACI-71"</f>
        <v>NIPLE DUPLO SEXTAVADO 3/4" INOX ACI-71</v>
      </c>
      <c r="C1073" t="str">
        <f>"44540201"</f>
        <v>44540201</v>
      </c>
      <c r="D1073" s="9"/>
      <c r="E1073" s="13" t="s">
        <v>14</v>
      </c>
    </row>
    <row r="1074" spans="1:5" x14ac:dyDescent="0.25">
      <c r="A1074" s="5">
        <v>36</v>
      </c>
      <c r="B1074" s="6" t="str">
        <f>"NIPLE DUPLO DE REDUÇÃO 3/4""X 1/2"" BSP INOX ACI-7A"</f>
        <v>NIPLE DUPLO DE REDUÇÃO 3/4"X 1/2" BSP INOX ACI-7A</v>
      </c>
      <c r="C1074" s="6" t="str">
        <f>"44540210"</f>
        <v>44540210</v>
      </c>
      <c r="D1074" s="10"/>
      <c r="E1074" s="13" t="s">
        <v>14</v>
      </c>
    </row>
    <row r="1075" spans="1:5" x14ac:dyDescent="0.25">
      <c r="A1075" s="4">
        <v>1</v>
      </c>
      <c r="B1075" t="str">
        <f>"PAPEL DE FIBRA DE CERAMICA - 10 m x 1.2 m X 3,2 mm"</f>
        <v>PAPEL DE FIBRA DE CERAMICA - 10 m x 1.2 m X 3,2 mm</v>
      </c>
      <c r="C1075" t="str">
        <f>"44750010"</f>
        <v>44750010</v>
      </c>
      <c r="D1075" s="9"/>
      <c r="E1075" s="13" t="s">
        <v>14</v>
      </c>
    </row>
    <row r="1076" spans="1:5" x14ac:dyDescent="0.25">
      <c r="A1076" s="5">
        <v>2</v>
      </c>
      <c r="B1076" s="6" t="str">
        <f>"PARAFUSO ALLEN C/C  M3 X 6 DIN 912"</f>
        <v>PARAFUSO ALLEN C/C  M3 X 6 DIN 912</v>
      </c>
      <c r="C1076" s="6" t="str">
        <f>"44760000"</f>
        <v>44760000</v>
      </c>
      <c r="D1076" s="10"/>
      <c r="E1076" s="13" t="s">
        <v>14</v>
      </c>
    </row>
    <row r="1077" spans="1:5" x14ac:dyDescent="0.25">
      <c r="A1077" s="4">
        <v>46</v>
      </c>
      <c r="B1077" t="str">
        <f>"PARAFUSO  ALLEN C/C  M3 X 10 DIN 912"</f>
        <v>PARAFUSO  ALLEN C/C  M3 X 10 DIN 912</v>
      </c>
      <c r="C1077" t="str">
        <f>"44760002"</f>
        <v>44760002</v>
      </c>
      <c r="D1077" s="9"/>
      <c r="E1077" s="13" t="s">
        <v>14</v>
      </c>
    </row>
    <row r="1078" spans="1:5" x14ac:dyDescent="0.25">
      <c r="A1078" s="5">
        <v>2</v>
      </c>
      <c r="B1078" s="6" t="str">
        <f>"PARAFUSO  ALLEN C/C  M 3 X 16 DIN 912"</f>
        <v>PARAFUSO  ALLEN C/C  M 3 X 16 DIN 912</v>
      </c>
      <c r="C1078" s="6" t="str">
        <f>"44760005"</f>
        <v>44760005</v>
      </c>
      <c r="D1078" s="10"/>
      <c r="E1078" s="13" t="s">
        <v>14</v>
      </c>
    </row>
    <row r="1079" spans="1:5" x14ac:dyDescent="0.25">
      <c r="A1079" s="4">
        <v>22</v>
      </c>
      <c r="B1079" t="str">
        <f>"PARAFUSO  ALLEN C/C  M3 X 30 DIN 912"</f>
        <v>PARAFUSO  ALLEN C/C  M3 X 30 DIN 912</v>
      </c>
      <c r="C1079" t="str">
        <f>"44760008"</f>
        <v>44760008</v>
      </c>
      <c r="D1079" s="9"/>
      <c r="E1079" s="13" t="s">
        <v>14</v>
      </c>
    </row>
    <row r="1080" spans="1:5" x14ac:dyDescent="0.25">
      <c r="A1080" s="5">
        <v>236</v>
      </c>
      <c r="B1080" s="6" t="str">
        <f>"PARAFUSO  ALLEN C/C  M4 X 10 DIN 912"</f>
        <v>PARAFUSO  ALLEN C/C  M4 X 10 DIN 912</v>
      </c>
      <c r="C1080" s="6" t="str">
        <f>"44760101"</f>
        <v>44760101</v>
      </c>
      <c r="D1080" s="10"/>
      <c r="E1080" s="13" t="s">
        <v>14</v>
      </c>
    </row>
    <row r="1081" spans="1:5" x14ac:dyDescent="0.25">
      <c r="A1081" s="4">
        <v>2</v>
      </c>
      <c r="B1081" t="str">
        <f>"PARAFUSO ALLEN  C/C  M4 X 16 DIN912"</f>
        <v>PARAFUSO ALLEN  C/C  M4 X 16 DIN912</v>
      </c>
      <c r="C1081" t="str">
        <f>"44760102"</f>
        <v>44760102</v>
      </c>
      <c r="D1081" s="9"/>
      <c r="E1081" s="13" t="s">
        <v>14</v>
      </c>
    </row>
    <row r="1082" spans="1:5" x14ac:dyDescent="0.25">
      <c r="A1082" s="5">
        <v>40</v>
      </c>
      <c r="B1082" s="6" t="str">
        <f>"PARAFUSO ALLEN  C/C M4 X 20 DIN 912"</f>
        <v>PARAFUSO ALLEN  C/C M4 X 20 DIN 912</v>
      </c>
      <c r="C1082" s="6" t="str">
        <f>"44760103"</f>
        <v>44760103</v>
      </c>
      <c r="D1082" s="10"/>
      <c r="E1082" s="13" t="s">
        <v>14</v>
      </c>
    </row>
    <row r="1083" spans="1:5" x14ac:dyDescent="0.25">
      <c r="A1083" s="4">
        <v>2</v>
      </c>
      <c r="B1083" t="str">
        <f>"PARAFUSO  ALLEN C/C  M4 X 25 DIN 912"</f>
        <v>PARAFUSO  ALLEN C/C  M4 X 25 DIN 912</v>
      </c>
      <c r="C1083" t="str">
        <f>"44760104"</f>
        <v>44760104</v>
      </c>
      <c r="D1083" s="9"/>
      <c r="E1083" s="13" t="s">
        <v>14</v>
      </c>
    </row>
    <row r="1084" spans="1:5" x14ac:dyDescent="0.25">
      <c r="A1084" s="5">
        <v>4</v>
      </c>
      <c r="B1084" s="6" t="str">
        <f>"PARAFUSO  ALLEN C/C  M4 X 30 DIN 912"</f>
        <v>PARAFUSO  ALLEN C/C  M4 X 30 DIN 912</v>
      </c>
      <c r="C1084" s="6" t="str">
        <f>"44760105"</f>
        <v>44760105</v>
      </c>
      <c r="D1084" s="10"/>
      <c r="E1084" s="13" t="s">
        <v>14</v>
      </c>
    </row>
    <row r="1085" spans="1:5" x14ac:dyDescent="0.25">
      <c r="A1085" s="4">
        <v>8</v>
      </c>
      <c r="B1085" t="str">
        <f>"PARAFUSO  ALLEN C/C  M4 X 35 DIN 912"</f>
        <v>PARAFUSO  ALLEN C/C  M4 X 35 DIN 912</v>
      </c>
      <c r="C1085" t="str">
        <f>"44760106"</f>
        <v>44760106</v>
      </c>
      <c r="D1085" s="9"/>
      <c r="E1085" s="13" t="s">
        <v>14</v>
      </c>
    </row>
    <row r="1086" spans="1:5" x14ac:dyDescent="0.25">
      <c r="A1086" s="5">
        <v>40</v>
      </c>
      <c r="B1086" s="6" t="str">
        <f>"PARAFUSO  ALLEN C/C  M5 X 10 DIN 912"</f>
        <v>PARAFUSO  ALLEN C/C  M5 X 10 DIN 912</v>
      </c>
      <c r="C1086" s="6" t="str">
        <f>"44760200"</f>
        <v>44760200</v>
      </c>
      <c r="D1086" s="10"/>
      <c r="E1086" s="13" t="s">
        <v>14</v>
      </c>
    </row>
    <row r="1087" spans="1:5" x14ac:dyDescent="0.25">
      <c r="A1087" s="4">
        <v>368</v>
      </c>
      <c r="B1087" t="str">
        <f>"PARAFUSO ALLEN C/C  M 5 X 16 DIN 912"</f>
        <v>PARAFUSO ALLEN C/C  M 5 X 16 DIN 912</v>
      </c>
      <c r="C1087" t="str">
        <f>"44760201"</f>
        <v>44760201</v>
      </c>
      <c r="D1087" s="9"/>
      <c r="E1087" s="13" t="s">
        <v>14</v>
      </c>
    </row>
    <row r="1088" spans="1:5" x14ac:dyDescent="0.25">
      <c r="A1088" s="5">
        <v>174</v>
      </c>
      <c r="B1088" s="6" t="str">
        <f>"PARAFUSO  ALLEN C/C  M5 X 20 DIN 912"</f>
        <v>PARAFUSO  ALLEN C/C  M5 X 20 DIN 912</v>
      </c>
      <c r="C1088" s="6" t="str">
        <f>"44760202"</f>
        <v>44760202</v>
      </c>
      <c r="D1088" s="10"/>
      <c r="E1088" s="13" t="s">
        <v>14</v>
      </c>
    </row>
    <row r="1089" spans="1:5" x14ac:dyDescent="0.25">
      <c r="A1089" s="4">
        <v>26</v>
      </c>
      <c r="B1089" t="str">
        <f>"PARAFUSO  ALLEN C/C  M5 X 25 DIN 912"</f>
        <v>PARAFUSO  ALLEN C/C  M5 X 25 DIN 912</v>
      </c>
      <c r="C1089" t="str">
        <f>"44760203"</f>
        <v>44760203</v>
      </c>
      <c r="D1089" s="9"/>
      <c r="E1089" s="13" t="s">
        <v>14</v>
      </c>
    </row>
    <row r="1090" spans="1:5" x14ac:dyDescent="0.25">
      <c r="A1090" s="5">
        <v>64</v>
      </c>
      <c r="B1090" s="6" t="str">
        <f>"PARAFUSO ALLEN C/C  M5 X 30 DIN 912"</f>
        <v>PARAFUSO ALLEN C/C  M5 X 30 DIN 912</v>
      </c>
      <c r="C1090" s="6" t="str">
        <f>"44760204"</f>
        <v>44760204</v>
      </c>
      <c r="D1090" s="10"/>
      <c r="E1090" s="13" t="s">
        <v>14</v>
      </c>
    </row>
    <row r="1091" spans="1:5" x14ac:dyDescent="0.25">
      <c r="A1091" s="4">
        <v>4</v>
      </c>
      <c r="B1091" t="str">
        <f>"PARAFUSO  ALLEN C/C M5 X 40 DIN 912"</f>
        <v>PARAFUSO  ALLEN C/C M5 X 40 DIN 912</v>
      </c>
      <c r="C1091" t="str">
        <f>"44760206"</f>
        <v>44760206</v>
      </c>
      <c r="D1091" s="9"/>
      <c r="E1091" s="13" t="s">
        <v>14</v>
      </c>
    </row>
    <row r="1092" spans="1:5" x14ac:dyDescent="0.25">
      <c r="A1092" s="5">
        <v>8</v>
      </c>
      <c r="B1092" s="6" t="str">
        <f>"PARAFUSO ALLEN  C/C M6 X 8 DIN 912"</f>
        <v>PARAFUSO ALLEN  C/C M6 X 8 DIN 912</v>
      </c>
      <c r="C1092" s="6" t="str">
        <f>"44760300"</f>
        <v>44760300</v>
      </c>
      <c r="D1092" s="10"/>
      <c r="E1092" s="13" t="s">
        <v>14</v>
      </c>
    </row>
    <row r="1093" spans="1:5" x14ac:dyDescent="0.25">
      <c r="A1093" s="4">
        <v>225</v>
      </c>
      <c r="B1093" t="str">
        <f>"PARAFUSO  ALLEN C/C  M6 X 10 DIN 912"</f>
        <v>PARAFUSO  ALLEN C/C  M6 X 10 DIN 912</v>
      </c>
      <c r="C1093" t="str">
        <f>"44760301"</f>
        <v>44760301</v>
      </c>
      <c r="D1093" s="9"/>
      <c r="E1093" s="13" t="s">
        <v>14</v>
      </c>
    </row>
    <row r="1094" spans="1:5" x14ac:dyDescent="0.25">
      <c r="A1094" s="5">
        <v>469</v>
      </c>
      <c r="B1094" s="6" t="str">
        <f>"PARAFUSO ALLEN C/C  M 6 X 16 DIN 912"</f>
        <v>PARAFUSO ALLEN C/C  M 6 X 16 DIN 912</v>
      </c>
      <c r="C1094" s="6" t="str">
        <f>"44760302"</f>
        <v>44760302</v>
      </c>
      <c r="D1094" s="10"/>
      <c r="E1094" s="13" t="s">
        <v>14</v>
      </c>
    </row>
    <row r="1095" spans="1:5" x14ac:dyDescent="0.25">
      <c r="A1095" s="4">
        <v>238</v>
      </c>
      <c r="B1095" t="str">
        <f>"PARAFUSO ALLEN C/C  M6 X 20 DIN 912"</f>
        <v>PARAFUSO ALLEN C/C  M6 X 20 DIN 912</v>
      </c>
      <c r="C1095" t="str">
        <f>"44760303"</f>
        <v>44760303</v>
      </c>
      <c r="D1095" s="9"/>
      <c r="E1095" s="13" t="s">
        <v>14</v>
      </c>
    </row>
    <row r="1096" spans="1:5" x14ac:dyDescent="0.25">
      <c r="A1096" s="5">
        <v>331</v>
      </c>
      <c r="B1096" s="6" t="str">
        <f>"PARAFUSO  ALLEN C/C M6 X 25 DIN 912"</f>
        <v>PARAFUSO  ALLEN C/C M6 X 25 DIN 912</v>
      </c>
      <c r="C1096" s="6" t="str">
        <f>"44760304"</f>
        <v>44760304</v>
      </c>
      <c r="D1096" s="10"/>
      <c r="E1096" s="13" t="s">
        <v>14</v>
      </c>
    </row>
    <row r="1097" spans="1:5" x14ac:dyDescent="0.25">
      <c r="A1097" s="4">
        <v>58</v>
      </c>
      <c r="B1097" t="str">
        <f>"PARAFUSO ALLEN  C/C M6 X 30 DIN 912"</f>
        <v>PARAFUSO ALLEN  C/C M6 X 30 DIN 912</v>
      </c>
      <c r="C1097" t="str">
        <f>"44760305"</f>
        <v>44760305</v>
      </c>
      <c r="D1097" s="9"/>
      <c r="E1097" s="13" t="s">
        <v>14</v>
      </c>
    </row>
    <row r="1098" spans="1:5" x14ac:dyDescent="0.25">
      <c r="A1098" s="5">
        <v>40</v>
      </c>
      <c r="B1098" s="6" t="str">
        <f>"PARAFUSO  ALLEN C/C  M6 X 35 DIN 912"</f>
        <v>PARAFUSO  ALLEN C/C  M6 X 35 DIN 912</v>
      </c>
      <c r="C1098" s="6" t="str">
        <f>"44760306"</f>
        <v>44760306</v>
      </c>
      <c r="D1098" s="10"/>
      <c r="E1098" s="13" t="s">
        <v>14</v>
      </c>
    </row>
    <row r="1099" spans="1:5" x14ac:dyDescent="0.25">
      <c r="A1099" s="4">
        <v>8</v>
      </c>
      <c r="B1099" t="str">
        <f>"PARAFUSO  ALLEN C/C  M6 X 40 DIN 912"</f>
        <v>PARAFUSO  ALLEN C/C  M6 X 40 DIN 912</v>
      </c>
      <c r="C1099" t="str">
        <f>"44760307"</f>
        <v>44760307</v>
      </c>
      <c r="D1099" s="9"/>
      <c r="E1099" s="13" t="s">
        <v>14</v>
      </c>
    </row>
    <row r="1100" spans="1:5" x14ac:dyDescent="0.25">
      <c r="A1100" s="5">
        <v>4</v>
      </c>
      <c r="B1100" s="6" t="str">
        <f>"PARAFUSO  ALLEN C/C  M6 X 50 DIN 912"</f>
        <v>PARAFUSO  ALLEN C/C  M6 X 50 DIN 912</v>
      </c>
      <c r="C1100" s="6" t="str">
        <f>"44760309"</f>
        <v>44760309</v>
      </c>
      <c r="D1100" s="10"/>
      <c r="E1100" s="13" t="s">
        <v>14</v>
      </c>
    </row>
    <row r="1101" spans="1:5" x14ac:dyDescent="0.25">
      <c r="A1101" s="4">
        <v>32</v>
      </c>
      <c r="B1101" t="str">
        <f>"PARAFUSO  ALLEN C/C  M6 X 55 DIN 912"</f>
        <v>PARAFUSO  ALLEN C/C  M6 X 55 DIN 912</v>
      </c>
      <c r="C1101" t="str">
        <f>"44760310"</f>
        <v>44760310</v>
      </c>
      <c r="D1101" s="9"/>
      <c r="E1101" s="13" t="s">
        <v>14</v>
      </c>
    </row>
    <row r="1102" spans="1:5" x14ac:dyDescent="0.25">
      <c r="A1102" s="5">
        <v>14</v>
      </c>
      <c r="B1102" s="6" t="str">
        <f>"PARAFUSO  ALLEN C/C  M6 X 60 DIN 912"</f>
        <v>PARAFUSO  ALLEN C/C  M6 X 60 DIN 912</v>
      </c>
      <c r="C1102" s="6" t="str">
        <f>"44760311"</f>
        <v>44760311</v>
      </c>
      <c r="D1102" s="10"/>
      <c r="E1102" s="13" t="s">
        <v>14</v>
      </c>
    </row>
    <row r="1103" spans="1:5" x14ac:dyDescent="0.25">
      <c r="A1103" s="4">
        <v>4</v>
      </c>
      <c r="B1103" t="str">
        <f>"PARAFUSO ALLEN  C/C M6 X 70 DIN 912"</f>
        <v>PARAFUSO ALLEN  C/C M6 X 70 DIN 912</v>
      </c>
      <c r="C1103" t="str">
        <f>"44760313"</f>
        <v>44760313</v>
      </c>
      <c r="D1103" s="9"/>
      <c r="E1103" s="13" t="s">
        <v>14</v>
      </c>
    </row>
    <row r="1104" spans="1:5" x14ac:dyDescent="0.25">
      <c r="A1104" s="5">
        <v>16</v>
      </c>
      <c r="B1104" s="6" t="str">
        <f>"PARAFUSO  ALLEN C/C  M6 X 80 DIN 912"</f>
        <v>PARAFUSO  ALLEN C/C  M6 X 80 DIN 912</v>
      </c>
      <c r="C1104" s="6" t="str">
        <f>"44760315"</f>
        <v>44760315</v>
      </c>
      <c r="D1104" s="10"/>
      <c r="E1104" s="13" t="s">
        <v>14</v>
      </c>
    </row>
    <row r="1105" spans="1:5" x14ac:dyDescent="0.25">
      <c r="A1105" s="4">
        <v>96</v>
      </c>
      <c r="B1105" t="str">
        <f>"PARAFUSO  ALLEN C/C M6 X 16 DIN 6912"</f>
        <v>PARAFUSO  ALLEN C/C M6 X 16 DIN 6912</v>
      </c>
      <c r="C1105" t="str">
        <f>"44760317"</f>
        <v>44760317</v>
      </c>
      <c r="D1105" s="9"/>
      <c r="E1105" s="13" t="s">
        <v>14</v>
      </c>
    </row>
    <row r="1106" spans="1:5" x14ac:dyDescent="0.25">
      <c r="A1106" s="5">
        <v>207</v>
      </c>
      <c r="B1106" s="6" t="str">
        <f>"PARAFUSO ALLEN  C/C M 8 X 16 DIN 912"</f>
        <v>PARAFUSO ALLEN  C/C M 8 X 16 DIN 912</v>
      </c>
      <c r="C1106" s="6" t="str">
        <f>"44760401"</f>
        <v>44760401</v>
      </c>
      <c r="D1106" s="10"/>
      <c r="E1106" s="13" t="s">
        <v>14</v>
      </c>
    </row>
    <row r="1107" spans="1:5" x14ac:dyDescent="0.25">
      <c r="A1107" s="4">
        <v>264</v>
      </c>
      <c r="B1107" t="str">
        <f>"PARAFUSO  ALLEN C/C M8 X 20 DIN 912"</f>
        <v>PARAFUSO  ALLEN C/C M8 X 20 DIN 912</v>
      </c>
      <c r="C1107" t="str">
        <f>"44760402"</f>
        <v>44760402</v>
      </c>
      <c r="D1107" s="9"/>
      <c r="E1107" s="13" t="s">
        <v>14</v>
      </c>
    </row>
    <row r="1108" spans="1:5" x14ac:dyDescent="0.25">
      <c r="A1108" s="5">
        <v>522</v>
      </c>
      <c r="B1108" s="6" t="str">
        <f>"PARAFUSO ALLEN C/C  M8 X 25 DIN 912"</f>
        <v>PARAFUSO ALLEN C/C  M8 X 25 DIN 912</v>
      </c>
      <c r="C1108" s="6" t="str">
        <f>"44760403"</f>
        <v>44760403</v>
      </c>
      <c r="D1108" s="10"/>
      <c r="E1108" s="13" t="s">
        <v>14</v>
      </c>
    </row>
    <row r="1109" spans="1:5" x14ac:dyDescent="0.25">
      <c r="A1109" s="4">
        <v>102</v>
      </c>
      <c r="B1109" t="str">
        <f>"PARAFUSO  ALLEN C/C  M8 X 30 DIN 912"</f>
        <v>PARAFUSO  ALLEN C/C  M8 X 30 DIN 912</v>
      </c>
      <c r="C1109" t="str">
        <f>"44760404"</f>
        <v>44760404</v>
      </c>
      <c r="D1109" s="9"/>
      <c r="E1109" s="13" t="s">
        <v>14</v>
      </c>
    </row>
    <row r="1110" spans="1:5" x14ac:dyDescent="0.25">
      <c r="A1110" s="5">
        <v>250</v>
      </c>
      <c r="B1110" s="6" t="str">
        <f>"PARAFUSO  ALLEN C/C M8 X 35 DIN 912"</f>
        <v>PARAFUSO  ALLEN C/C M8 X 35 DIN 912</v>
      </c>
      <c r="C1110" s="6" t="str">
        <f>"44760405"</f>
        <v>44760405</v>
      </c>
      <c r="D1110" s="10"/>
      <c r="E1110" s="13" t="s">
        <v>14</v>
      </c>
    </row>
    <row r="1111" spans="1:5" x14ac:dyDescent="0.25">
      <c r="A1111" s="4">
        <v>72</v>
      </c>
      <c r="B1111" t="str">
        <f>"PARAFUSO ALLEN C/C M8 X 40 DIN 912"</f>
        <v>PARAFUSO ALLEN C/C M8 X 40 DIN 912</v>
      </c>
      <c r="C1111" t="str">
        <f>"44760406"</f>
        <v>44760406</v>
      </c>
      <c r="D1111" s="9"/>
      <c r="E1111" s="13" t="s">
        <v>14</v>
      </c>
    </row>
    <row r="1112" spans="1:5" x14ac:dyDescent="0.25">
      <c r="A1112" s="5">
        <v>136</v>
      </c>
      <c r="B1112" s="6" t="str">
        <f>"PARAFUSO ALLEN  C/C  M8 X 45 DIN 912"</f>
        <v>PARAFUSO ALLEN  C/C  M8 X 45 DIN 912</v>
      </c>
      <c r="C1112" s="6" t="str">
        <f>"44760407"</f>
        <v>44760407</v>
      </c>
      <c r="D1112" s="10"/>
      <c r="E1112" s="13" t="s">
        <v>14</v>
      </c>
    </row>
    <row r="1113" spans="1:5" x14ac:dyDescent="0.25">
      <c r="A1113" s="4">
        <v>46</v>
      </c>
      <c r="B1113" t="str">
        <f>"PARAFUSO  ALLEN C/C  M8 X 50 DIN 912"</f>
        <v>PARAFUSO  ALLEN C/C  M8 X 50 DIN 912</v>
      </c>
      <c r="C1113" t="str">
        <f>"44760408"</f>
        <v>44760408</v>
      </c>
      <c r="D1113" s="9"/>
      <c r="E1113" s="13" t="s">
        <v>14</v>
      </c>
    </row>
    <row r="1114" spans="1:5" x14ac:dyDescent="0.25">
      <c r="A1114" s="5">
        <v>444</v>
      </c>
      <c r="B1114" s="6" t="str">
        <f>"PARAFUSO  ALLEN C/C  M8 X 55 DIN 912"</f>
        <v>PARAFUSO  ALLEN C/C  M8 X 55 DIN 912</v>
      </c>
      <c r="C1114" s="6" t="str">
        <f>"44760409"</f>
        <v>44760409</v>
      </c>
      <c r="D1114" s="10"/>
      <c r="E1114" s="13" t="s">
        <v>14</v>
      </c>
    </row>
    <row r="1115" spans="1:5" x14ac:dyDescent="0.25">
      <c r="A1115" s="4">
        <v>32</v>
      </c>
      <c r="B1115" t="str">
        <f>"PARAFUSO  ALLEN C/C M8 X 60 DIN 912"</f>
        <v>PARAFUSO  ALLEN C/C M8 X 60 DIN 912</v>
      </c>
      <c r="C1115" t="str">
        <f>"44760410"</f>
        <v>44760410</v>
      </c>
      <c r="D1115" s="9"/>
      <c r="E1115" s="13" t="s">
        <v>14</v>
      </c>
    </row>
    <row r="1116" spans="1:5" x14ac:dyDescent="0.25">
      <c r="A1116" s="5">
        <v>15</v>
      </c>
      <c r="B1116" s="6" t="str">
        <f>"PARAFUSO ALLEN  C/C M8 X 65 DIN 912"</f>
        <v>PARAFUSO ALLEN  C/C M8 X 65 DIN 912</v>
      </c>
      <c r="C1116" s="6" t="str">
        <f>"44760416"</f>
        <v>44760416</v>
      </c>
      <c r="D1116" s="10"/>
      <c r="E1116" s="13" t="s">
        <v>14</v>
      </c>
    </row>
    <row r="1117" spans="1:5" x14ac:dyDescent="0.25">
      <c r="A1117" s="4">
        <v>32</v>
      </c>
      <c r="B1117" t="str">
        <f>"PARAFUSO ALLEN  C/C M10 X 16 DIN 912"</f>
        <v>PARAFUSO ALLEN  C/C M10 X 16 DIN 912</v>
      </c>
      <c r="C1117" t="str">
        <f>"44760500"</f>
        <v>44760500</v>
      </c>
      <c r="D1117" s="9"/>
      <c r="E1117" s="13" t="s">
        <v>14</v>
      </c>
    </row>
    <row r="1118" spans="1:5" x14ac:dyDescent="0.25">
      <c r="A1118" s="5">
        <v>12</v>
      </c>
      <c r="B1118" s="6" t="str">
        <f>"PARAFUSO ALLEN  C/C M10 X 20 DIN 912"</f>
        <v>PARAFUSO ALLEN  C/C M10 X 20 DIN 912</v>
      </c>
      <c r="C1118" s="6" t="str">
        <f>"44760501"</f>
        <v>44760501</v>
      </c>
      <c r="D1118" s="10"/>
      <c r="E1118" s="13" t="s">
        <v>14</v>
      </c>
    </row>
    <row r="1119" spans="1:5" x14ac:dyDescent="0.25">
      <c r="A1119" s="4">
        <v>150</v>
      </c>
      <c r="B1119" t="str">
        <f>"PARAFUSO ALLEN  C/C M10 X 25 DIN 912"</f>
        <v>PARAFUSO ALLEN  C/C M10 X 25 DIN 912</v>
      </c>
      <c r="C1119" t="str">
        <f>"44760502"</f>
        <v>44760502</v>
      </c>
      <c r="D1119" s="9"/>
      <c r="E1119" s="13" t="s">
        <v>14</v>
      </c>
    </row>
    <row r="1120" spans="1:5" x14ac:dyDescent="0.25">
      <c r="A1120" s="5">
        <v>170</v>
      </c>
      <c r="B1120" s="6" t="str">
        <f>"PARAFUSO ALLEN  C/C M10 X 30 DIN 912"</f>
        <v>PARAFUSO ALLEN  C/C M10 X 30 DIN 912</v>
      </c>
      <c r="C1120" s="6" t="str">
        <f>"44760503"</f>
        <v>44760503</v>
      </c>
      <c r="D1120" s="10"/>
      <c r="E1120" s="13" t="s">
        <v>14</v>
      </c>
    </row>
    <row r="1121" spans="1:5" x14ac:dyDescent="0.25">
      <c r="A1121" s="4">
        <v>74</v>
      </c>
      <c r="B1121" t="str">
        <f>"PARAFUSO  ALLEN C/C M10 X 35 DIN 912"</f>
        <v>PARAFUSO  ALLEN C/C M10 X 35 DIN 912</v>
      </c>
      <c r="C1121" t="str">
        <f>"44760504"</f>
        <v>44760504</v>
      </c>
      <c r="D1121" s="9"/>
      <c r="E1121" s="13" t="s">
        <v>14</v>
      </c>
    </row>
    <row r="1122" spans="1:5" x14ac:dyDescent="0.25">
      <c r="A1122" s="5">
        <v>86</v>
      </c>
      <c r="B1122" s="6" t="str">
        <f>"PARAFUSO   ALLEN C/C  M10 X 40 DIN 912"</f>
        <v>PARAFUSO   ALLEN C/C  M10 X 40 DIN 912</v>
      </c>
      <c r="C1122" s="6" t="str">
        <f>"44760505"</f>
        <v>44760505</v>
      </c>
      <c r="D1122" s="10"/>
      <c r="E1122" s="13" t="s">
        <v>14</v>
      </c>
    </row>
    <row r="1123" spans="1:5" x14ac:dyDescent="0.25">
      <c r="A1123" s="4">
        <v>50</v>
      </c>
      <c r="B1123" t="str">
        <f>"PARAFUSO ALLEN  C/C  M10 X 45 DIN 912"</f>
        <v>PARAFUSO ALLEN  C/C  M10 X 45 DIN 912</v>
      </c>
      <c r="C1123" t="str">
        <f>"44760506"</f>
        <v>44760506</v>
      </c>
      <c r="D1123" s="9"/>
      <c r="E1123" s="13" t="s">
        <v>14</v>
      </c>
    </row>
    <row r="1124" spans="1:5" x14ac:dyDescent="0.25">
      <c r="A1124" s="5">
        <v>196</v>
      </c>
      <c r="B1124" s="6" t="str">
        <f>"PARAFUSO ALLEN  C/C M10 X 50 DIN 912"</f>
        <v>PARAFUSO ALLEN  C/C M10 X 50 DIN 912</v>
      </c>
      <c r="C1124" s="6" t="str">
        <f>"44760507"</f>
        <v>44760507</v>
      </c>
      <c r="D1124" s="10"/>
      <c r="E1124" s="13" t="s">
        <v>14</v>
      </c>
    </row>
    <row r="1125" spans="1:5" x14ac:dyDescent="0.25">
      <c r="A1125" s="4">
        <v>26</v>
      </c>
      <c r="B1125" t="str">
        <f>"PARAFUSO  ALLEN C/C  M10 X 55 DIN 912"</f>
        <v>PARAFUSO  ALLEN C/C  M10 X 55 DIN 912</v>
      </c>
      <c r="C1125" t="str">
        <f>"44760508"</f>
        <v>44760508</v>
      </c>
      <c r="D1125" s="9"/>
      <c r="E1125" s="13" t="s">
        <v>14</v>
      </c>
    </row>
    <row r="1126" spans="1:5" x14ac:dyDescent="0.25">
      <c r="A1126" s="5">
        <v>2</v>
      </c>
      <c r="B1126" s="6" t="str">
        <f>"PARAFUSO ALLEN  C/C M10 X 60 DIN 912"</f>
        <v>PARAFUSO ALLEN  C/C M10 X 60 DIN 912</v>
      </c>
      <c r="C1126" s="6" t="str">
        <f>"44760509"</f>
        <v>44760509</v>
      </c>
      <c r="D1126" s="10"/>
      <c r="E1126" s="13" t="s">
        <v>14</v>
      </c>
    </row>
    <row r="1127" spans="1:5" x14ac:dyDescent="0.25">
      <c r="A1127" s="4">
        <v>64</v>
      </c>
      <c r="B1127" t="str">
        <f>"PARAFUSO ALLEN  C/C M10 X 65 DIN 912"</f>
        <v>PARAFUSO ALLEN  C/C M10 X 65 DIN 912</v>
      </c>
      <c r="C1127" t="str">
        <f>"44760510"</f>
        <v>44760510</v>
      </c>
      <c r="D1127" s="9"/>
      <c r="E1127" s="13" t="s">
        <v>14</v>
      </c>
    </row>
    <row r="1128" spans="1:5" x14ac:dyDescent="0.25">
      <c r="A1128" s="5">
        <v>2</v>
      </c>
      <c r="B1128" s="6" t="str">
        <f>"PARAFUSO ALLEN  C/C M10 X 70 DIN 912"</f>
        <v>PARAFUSO ALLEN  C/C M10 X 70 DIN 912</v>
      </c>
      <c r="C1128" s="6" t="str">
        <f>"44760511"</f>
        <v>44760511</v>
      </c>
      <c r="D1128" s="10"/>
      <c r="E1128" s="13" t="s">
        <v>14</v>
      </c>
    </row>
    <row r="1129" spans="1:5" x14ac:dyDescent="0.25">
      <c r="A1129" s="4">
        <v>16</v>
      </c>
      <c r="B1129" t="str">
        <f>"PARAFUSO ALLEN  C/C M10 X 80 DIN 912"</f>
        <v>PARAFUSO ALLEN  C/C M10 X 80 DIN 912</v>
      </c>
      <c r="C1129" t="str">
        <f>"44760513"</f>
        <v>44760513</v>
      </c>
      <c r="D1129" s="9"/>
      <c r="E1129" s="13" t="s">
        <v>14</v>
      </c>
    </row>
    <row r="1130" spans="1:5" x14ac:dyDescent="0.25">
      <c r="A1130" s="5">
        <v>4</v>
      </c>
      <c r="B1130" s="6" t="str">
        <f>"PARAFUSO ALLEN  C/C M10 X 100 DIN 912"</f>
        <v>PARAFUSO ALLEN  C/C M10 X 100 DIN 912</v>
      </c>
      <c r="C1130" s="6" t="str">
        <f>"44760515"</f>
        <v>44760515</v>
      </c>
      <c r="D1130" s="10"/>
      <c r="E1130" s="13" t="s">
        <v>14</v>
      </c>
    </row>
    <row r="1131" spans="1:5" x14ac:dyDescent="0.25">
      <c r="A1131" s="4">
        <v>10</v>
      </c>
      <c r="B1131" t="str">
        <f>"PARAFUSO ALLEN  C/C M12 X 20 DIN 912"</f>
        <v>PARAFUSO ALLEN  C/C M12 X 20 DIN 912</v>
      </c>
      <c r="C1131" t="str">
        <f>"44760600"</f>
        <v>44760600</v>
      </c>
      <c r="D1131" s="9"/>
      <c r="E1131" s="13" t="s">
        <v>14</v>
      </c>
    </row>
    <row r="1132" spans="1:5" x14ac:dyDescent="0.25">
      <c r="A1132" s="5">
        <v>62</v>
      </c>
      <c r="B1132" s="6" t="str">
        <f>"PARAFUSO ALLEN  C/C M12 X 30 DIN 912"</f>
        <v>PARAFUSO ALLEN  C/C M12 X 30 DIN 912</v>
      </c>
      <c r="C1132" s="6" t="str">
        <f>"44760602"</f>
        <v>44760602</v>
      </c>
      <c r="D1132" s="10"/>
      <c r="E1132" s="13" t="s">
        <v>14</v>
      </c>
    </row>
    <row r="1133" spans="1:5" x14ac:dyDescent="0.25">
      <c r="A1133" s="4">
        <v>2</v>
      </c>
      <c r="B1133" t="str">
        <f>"PARAFUSO ALLEN  C/C M12 X 40 DIN 912"</f>
        <v>PARAFUSO ALLEN  C/C M12 X 40 DIN 912</v>
      </c>
      <c r="C1133" t="str">
        <f>"44760604"</f>
        <v>44760604</v>
      </c>
      <c r="D1133" s="9"/>
      <c r="E1133" s="13" t="s">
        <v>14</v>
      </c>
    </row>
    <row r="1134" spans="1:5" x14ac:dyDescent="0.25">
      <c r="A1134" s="5">
        <v>32</v>
      </c>
      <c r="B1134" s="6" t="str">
        <f>"PARAFUSO ALLEN C/C M12 X 45 DIN 912"</f>
        <v>PARAFUSO ALLEN C/C M12 X 45 DIN 912</v>
      </c>
      <c r="C1134" s="6" t="str">
        <f>"44760605"</f>
        <v>44760605</v>
      </c>
      <c r="D1134" s="10"/>
      <c r="E1134" s="13" t="s">
        <v>14</v>
      </c>
    </row>
    <row r="1135" spans="1:5" x14ac:dyDescent="0.25">
      <c r="A1135" s="4">
        <v>12</v>
      </c>
      <c r="B1135" t="str">
        <f>"PARAFUSO ALLEN C/C  M12 X 50 DIN 912"</f>
        <v>PARAFUSO ALLEN C/C  M12 X 50 DIN 912</v>
      </c>
      <c r="C1135" t="str">
        <f>"44760606"</f>
        <v>44760606</v>
      </c>
      <c r="D1135" s="9"/>
      <c r="E1135" s="13" t="s">
        <v>14</v>
      </c>
    </row>
    <row r="1136" spans="1:5" x14ac:dyDescent="0.25">
      <c r="A1136" s="5">
        <v>5</v>
      </c>
      <c r="B1136" s="6" t="str">
        <f>"PARAFUSO ALLEN  C/C M12 X 65 DIN 912"</f>
        <v>PARAFUSO ALLEN  C/C M12 X 65 DIN 912</v>
      </c>
      <c r="C1136" s="6" t="str">
        <f>"44760609"</f>
        <v>44760609</v>
      </c>
      <c r="D1136" s="10"/>
      <c r="E1136" s="13" t="s">
        <v>14</v>
      </c>
    </row>
    <row r="1137" spans="1:5" x14ac:dyDescent="0.25">
      <c r="A1137" s="4">
        <v>22</v>
      </c>
      <c r="B1137" t="str">
        <f>"PARAFUSO  ALLEN C/C M12 X 70 DIN 912"</f>
        <v>PARAFUSO  ALLEN C/C M12 X 70 DIN 912</v>
      </c>
      <c r="C1137" t="str">
        <f>"44760610"</f>
        <v>44760610</v>
      </c>
      <c r="D1137" s="9"/>
      <c r="E1137" s="13" t="s">
        <v>14</v>
      </c>
    </row>
    <row r="1138" spans="1:5" x14ac:dyDescent="0.25">
      <c r="A1138" s="5">
        <v>2</v>
      </c>
      <c r="B1138" s="6" t="str">
        <f>"PARAFUSO ALLEN C/C M12 X 80 DIN 912"</f>
        <v>PARAFUSO ALLEN C/C M12 X 80 DIN 912</v>
      </c>
      <c r="C1138" s="6" t="str">
        <f>"44760612"</f>
        <v>44760612</v>
      </c>
      <c r="D1138" s="10"/>
      <c r="E1138" s="13" t="s">
        <v>14</v>
      </c>
    </row>
    <row r="1139" spans="1:5" x14ac:dyDescent="0.25">
      <c r="A1139" s="4">
        <v>20</v>
      </c>
      <c r="B1139" t="str">
        <f>"PARAFUSO ALLEN C/C M16 X 50 DIN 912"</f>
        <v>PARAFUSO ALLEN C/C M16 X 50 DIN 912</v>
      </c>
      <c r="C1139" t="str">
        <f>"44760803"</f>
        <v>44760803</v>
      </c>
      <c r="D1139" s="9"/>
      <c r="E1139" s="13" t="s">
        <v>14</v>
      </c>
    </row>
    <row r="1140" spans="1:5" x14ac:dyDescent="0.25">
      <c r="A1140" s="5">
        <v>4</v>
      </c>
      <c r="B1140" s="6" t="str">
        <f>"PARAFUSO ALLEN C/C M16 X 65 DIN 912"</f>
        <v>PARAFUSO ALLEN C/C M16 X 65 DIN 912</v>
      </c>
      <c r="C1140" s="6" t="str">
        <f>"44760805"</f>
        <v>44760805</v>
      </c>
      <c r="D1140" s="10"/>
      <c r="E1140" s="13" t="s">
        <v>14</v>
      </c>
    </row>
    <row r="1141" spans="1:5" x14ac:dyDescent="0.25">
      <c r="A1141" s="4">
        <v>2</v>
      </c>
      <c r="B1141" t="str">
        <f>"PARAFUSO ALLEN C/C M16 X 70 DIN 912"</f>
        <v>PARAFUSO ALLEN C/C M16 X 70 DIN 912</v>
      </c>
      <c r="C1141" t="str">
        <f>"44760806"</f>
        <v>44760806</v>
      </c>
      <c r="D1141" s="9"/>
      <c r="E1141" s="13" t="s">
        <v>14</v>
      </c>
    </row>
    <row r="1142" spans="1:5" x14ac:dyDescent="0.25">
      <c r="A1142" s="5">
        <v>2</v>
      </c>
      <c r="B1142" s="6" t="str">
        <f>"PARAFUSO ALLEN C/C M16 X 100 DIN 912"</f>
        <v>PARAFUSO ALLEN C/C M16 X 100 DIN 912</v>
      </c>
      <c r="C1142" s="6" t="str">
        <f>"44760809"</f>
        <v>44760809</v>
      </c>
      <c r="D1142" s="10"/>
      <c r="E1142" s="13" t="s">
        <v>14</v>
      </c>
    </row>
    <row r="1143" spans="1:5" x14ac:dyDescent="0.25">
      <c r="A1143" s="4">
        <v>2</v>
      </c>
      <c r="B1143" t="str">
        <f>"PARAFUSO ALLEN C/C M16 X 120 DIN 912"</f>
        <v>PARAFUSO ALLEN C/C M16 X 120 DIN 912</v>
      </c>
      <c r="C1143" t="str">
        <f>"44760811"</f>
        <v>44760811</v>
      </c>
      <c r="D1143" s="9"/>
      <c r="E1143" s="13" t="s">
        <v>14</v>
      </c>
    </row>
    <row r="1144" spans="1:5" x14ac:dyDescent="0.25">
      <c r="A1144" s="5">
        <v>58</v>
      </c>
      <c r="B1144" s="6" t="str">
        <f>"PARAFUSO ALLEN C/C M20 X 60 DIN 912"</f>
        <v>PARAFUSO ALLEN C/C M20 X 60 DIN 912</v>
      </c>
      <c r="C1144" s="6" t="str">
        <f>"44760902"</f>
        <v>44760902</v>
      </c>
      <c r="D1144" s="10"/>
      <c r="E1144" s="13" t="s">
        <v>14</v>
      </c>
    </row>
    <row r="1145" spans="1:5" x14ac:dyDescent="0.25">
      <c r="A1145" s="4">
        <v>16</v>
      </c>
      <c r="B1145" t="str">
        <f>"PARAFUSO ALLEN C/C M20 X 80 DIN 912"</f>
        <v>PARAFUSO ALLEN C/C M20 X 80 DIN 912</v>
      </c>
      <c r="C1145" t="str">
        <f>"44760905"</f>
        <v>44760905</v>
      </c>
      <c r="D1145" s="9"/>
      <c r="E1145" s="13" t="s">
        <v>14</v>
      </c>
    </row>
    <row r="1146" spans="1:5" x14ac:dyDescent="0.25">
      <c r="A1146" s="5">
        <v>125</v>
      </c>
      <c r="B1146" s="6" t="str">
        <f>"PARAFUSO ALLEN S/C M6 X 6 DIN 913 / 916"</f>
        <v>PARAFUSO ALLEN S/C M6 X 6 DIN 913 / 916</v>
      </c>
      <c r="C1146" s="6" t="str">
        <f>"44761400"</f>
        <v>44761400</v>
      </c>
      <c r="D1146" s="10"/>
      <c r="E1146" s="13" t="s">
        <v>14</v>
      </c>
    </row>
    <row r="1147" spans="1:5" x14ac:dyDescent="0.25">
      <c r="A1147" s="4">
        <v>6</v>
      </c>
      <c r="B1147" t="str">
        <f>"PARAFUSO ALLEN S/C M6 X 10 DIN 913 / 916"</f>
        <v>PARAFUSO ALLEN S/C M6 X 10 DIN 913 / 916</v>
      </c>
      <c r="C1147" t="str">
        <f>"44761402"</f>
        <v>44761402</v>
      </c>
      <c r="D1147" s="9"/>
      <c r="E1147" s="13" t="s">
        <v>14</v>
      </c>
    </row>
    <row r="1148" spans="1:5" x14ac:dyDescent="0.25">
      <c r="A1148" s="5">
        <v>64</v>
      </c>
      <c r="B1148" s="6" t="str">
        <f>"PARAFUSO ALLEN S/C M6 X 20 DIN 913 / 916"</f>
        <v>PARAFUSO ALLEN S/C M6 X 20 DIN 913 / 916</v>
      </c>
      <c r="C1148" s="6" t="str">
        <f>"44761405"</f>
        <v>44761405</v>
      </c>
      <c r="D1148" s="10"/>
      <c r="E1148" s="13" t="s">
        <v>14</v>
      </c>
    </row>
    <row r="1149" spans="1:5" x14ac:dyDescent="0.25">
      <c r="A1149" s="4">
        <v>3</v>
      </c>
      <c r="B1149" t="str">
        <f>"PARAFUSO ALLEN S/C M6 X 30 DIN 913 / 916"</f>
        <v>PARAFUSO ALLEN S/C M6 X 30 DIN 913 / 916</v>
      </c>
      <c r="C1149" t="str">
        <f>"44761406"</f>
        <v>44761406</v>
      </c>
      <c r="D1149" s="9"/>
      <c r="E1149" s="13" t="s">
        <v>14</v>
      </c>
    </row>
    <row r="1150" spans="1:5" x14ac:dyDescent="0.25">
      <c r="A1150" s="5">
        <v>24</v>
      </c>
      <c r="B1150" s="6" t="str">
        <f>"PARAFUSO ALLEN S/C M8 X 8 DIN 913 / 916"</f>
        <v>PARAFUSO ALLEN S/C M8 X 8 DIN 913 / 916</v>
      </c>
      <c r="C1150" s="6" t="str">
        <f>"44761500"</f>
        <v>44761500</v>
      </c>
      <c r="D1150" s="10"/>
      <c r="E1150" s="13" t="s">
        <v>14</v>
      </c>
    </row>
    <row r="1151" spans="1:5" x14ac:dyDescent="0.25">
      <c r="A1151" s="4">
        <v>26</v>
      </c>
      <c r="B1151" t="str">
        <f>"PARAFUSO ALLEN S/C M8 X 12 DIN 913 / 916"</f>
        <v>PARAFUSO ALLEN S/C M8 X 12 DIN 913 / 916</v>
      </c>
      <c r="C1151" t="str">
        <f>"44761502"</f>
        <v>44761502</v>
      </c>
      <c r="D1151" s="9"/>
      <c r="E1151" s="13" t="s">
        <v>14</v>
      </c>
    </row>
    <row r="1152" spans="1:5" x14ac:dyDescent="0.25">
      <c r="A1152" s="5">
        <v>14</v>
      </c>
      <c r="B1152" s="6" t="str">
        <f>"PARAFUSO ALLEN S/C M8 X 16 DIN 913 / 916"</f>
        <v>PARAFUSO ALLEN S/C M8 X 16 DIN 913 / 916</v>
      </c>
      <c r="C1152" s="6" t="str">
        <f>"44761503"</f>
        <v>44761503</v>
      </c>
      <c r="D1152" s="10"/>
      <c r="E1152" s="13" t="s">
        <v>14</v>
      </c>
    </row>
    <row r="1153" spans="1:5" x14ac:dyDescent="0.25">
      <c r="A1153" s="4">
        <v>64</v>
      </c>
      <c r="B1153" t="str">
        <f>"PARAFUSO ALLEN S/C M8 X 20 DIN 913 / 916"</f>
        <v>PARAFUSO ALLEN S/C M8 X 20 DIN 913 / 916</v>
      </c>
      <c r="C1153" t="str">
        <f>"44761504"</f>
        <v>44761504</v>
      </c>
      <c r="D1153" s="9"/>
      <c r="E1153" s="13" t="s">
        <v>14</v>
      </c>
    </row>
    <row r="1154" spans="1:5" x14ac:dyDescent="0.25">
      <c r="A1154" s="5">
        <v>16</v>
      </c>
      <c r="B1154" s="6" t="str">
        <f>"PARAFUSO ALLEN S/C M8 X 30 DIN 913 / 916"</f>
        <v>PARAFUSO ALLEN S/C M8 X 30 DIN 913 / 916</v>
      </c>
      <c r="C1154" s="6" t="str">
        <f>"44761506"</f>
        <v>44761506</v>
      </c>
      <c r="D1154" s="10"/>
      <c r="E1154" s="13" t="s">
        <v>14</v>
      </c>
    </row>
    <row r="1155" spans="1:5" x14ac:dyDescent="0.25">
      <c r="A1155" s="4">
        <v>32</v>
      </c>
      <c r="B1155" t="str">
        <f>"PARAFUSO ALLEN S/C M10 X 10 DIN 913 / 916"</f>
        <v>PARAFUSO ALLEN S/C M10 X 10 DIN 913 / 916</v>
      </c>
      <c r="C1155" t="str">
        <f>"44761600"</f>
        <v>44761600</v>
      </c>
      <c r="D1155" s="9"/>
      <c r="E1155" s="13" t="s">
        <v>14</v>
      </c>
    </row>
    <row r="1156" spans="1:5" x14ac:dyDescent="0.25">
      <c r="A1156" s="5">
        <v>4</v>
      </c>
      <c r="B1156" s="6" t="str">
        <f>"PARAFUSO ALLEN S/C M10 X 16 DIN 913 / 916"</f>
        <v>PARAFUSO ALLEN S/C M10 X 16 DIN 913 / 916</v>
      </c>
      <c r="C1156" s="6" t="str">
        <f>"44761601"</f>
        <v>44761601</v>
      </c>
      <c r="D1156" s="10"/>
      <c r="E1156" s="13" t="s">
        <v>14</v>
      </c>
    </row>
    <row r="1157" spans="1:5" x14ac:dyDescent="0.25">
      <c r="A1157" s="4">
        <v>32</v>
      </c>
      <c r="B1157" t="str">
        <f>"PARAFUSO ALLEN S/C M10 X 30 DIN 913 / 916"</f>
        <v>PARAFUSO ALLEN S/C M10 X 30 DIN 913 / 916</v>
      </c>
      <c r="C1157" t="str">
        <f>"44761603"</f>
        <v>44761603</v>
      </c>
      <c r="D1157" s="9"/>
      <c r="E1157" s="13" t="s">
        <v>14</v>
      </c>
    </row>
    <row r="1158" spans="1:5" x14ac:dyDescent="0.25">
      <c r="A1158" s="5">
        <v>4</v>
      </c>
      <c r="B1158" s="6" t="str">
        <f>"PARAFUSO ALLEN S/C M10 X 40 DIN 913 / 916"</f>
        <v>PARAFUSO ALLEN S/C M10 X 40 DIN 913 / 916</v>
      </c>
      <c r="C1158" s="6" t="str">
        <f>"44761604"</f>
        <v>44761604</v>
      </c>
      <c r="D1158" s="10"/>
      <c r="E1158" s="13" t="s">
        <v>14</v>
      </c>
    </row>
    <row r="1159" spans="1:5" x14ac:dyDescent="0.25">
      <c r="A1159" s="4">
        <v>24</v>
      </c>
      <c r="B1159" t="str">
        <f>"PARAF. CAB. SEXTAVADA M 5 X  16 DIN 933 ( ZB )"</f>
        <v>PARAF. CAB. SEXTAVADA M 5 X  16 DIN 933 ( ZB )</v>
      </c>
      <c r="C1159" t="str">
        <f>"44762379"</f>
        <v>44762379</v>
      </c>
      <c r="D1159" s="9"/>
      <c r="E1159" s="13" t="s">
        <v>14</v>
      </c>
    </row>
    <row r="1160" spans="1:5" x14ac:dyDescent="0.25">
      <c r="A1160" s="5">
        <v>40</v>
      </c>
      <c r="B1160" s="6" t="str">
        <f>"PARAF. CAB. SEXTAVADA M6 X 10 DIN 933 ( ZB )"</f>
        <v>PARAF. CAB. SEXTAVADA M6 X 10 DIN 933 ( ZB )</v>
      </c>
      <c r="C1160" s="6" t="str">
        <f>"44762397"</f>
        <v>44762397</v>
      </c>
      <c r="D1160" s="10"/>
      <c r="E1160" s="13" t="s">
        <v>14</v>
      </c>
    </row>
    <row r="1161" spans="1:5" x14ac:dyDescent="0.25">
      <c r="A1161" s="4">
        <v>165</v>
      </c>
      <c r="B1161" t="str">
        <f>"PARAF. CAB. SEXTAVADA M6 X 16 DIN 933 ( ZB )"</f>
        <v>PARAF. CAB. SEXTAVADA M6 X 16 DIN 933 ( ZB )</v>
      </c>
      <c r="C1161" t="str">
        <f>"44762399"</f>
        <v>44762399</v>
      </c>
      <c r="D1161" s="9"/>
      <c r="E1161" s="13" t="s">
        <v>14</v>
      </c>
    </row>
    <row r="1162" spans="1:5" x14ac:dyDescent="0.25">
      <c r="A1162" s="5">
        <v>1</v>
      </c>
      <c r="B1162" s="6" t="str">
        <f>"PARAF. CAB. SEXTAVADA M6 X 20 DIN 933 ( ZB )"</f>
        <v>PARAF. CAB. SEXTAVADA M6 X 20 DIN 933 ( ZB )</v>
      </c>
      <c r="C1162" s="6" t="str">
        <f>"44762400"</f>
        <v>44762400</v>
      </c>
      <c r="D1162" s="10"/>
      <c r="E1162" s="13" t="s">
        <v>14</v>
      </c>
    </row>
    <row r="1163" spans="1:5" x14ac:dyDescent="0.25">
      <c r="A1163" s="4">
        <v>25</v>
      </c>
      <c r="B1163" t="str">
        <f>"PARAF. CAB. SEXTAVADA M6 X 25 DIN 933 ( ZB )"</f>
        <v>PARAF. CAB. SEXTAVADA M6 X 25 DIN 933 ( ZB )</v>
      </c>
      <c r="C1163" t="str">
        <f>"44762401"</f>
        <v>44762401</v>
      </c>
      <c r="D1163" s="9"/>
      <c r="E1163" s="13" t="s">
        <v>14</v>
      </c>
    </row>
    <row r="1164" spans="1:5" x14ac:dyDescent="0.25">
      <c r="A1164" s="5">
        <v>2</v>
      </c>
      <c r="B1164" s="6" t="str">
        <f>"PARAF. CAB. SEXTAVADA M6 X 55 DIN 933 ( ZB )"</f>
        <v>PARAF. CAB. SEXTAVADA M6 X 55 DIN 933 ( ZB )</v>
      </c>
      <c r="C1164" s="6" t="str">
        <f>"44762402"</f>
        <v>44762402</v>
      </c>
      <c r="D1164" s="10"/>
      <c r="E1164" s="13" t="s">
        <v>14</v>
      </c>
    </row>
    <row r="1165" spans="1:5" x14ac:dyDescent="0.25">
      <c r="A1165" s="4">
        <v>4</v>
      </c>
      <c r="B1165" t="str">
        <f>"PARAF. CAB. SEXTAVADA M8 X 16 DIN 933 ( ZB )"</f>
        <v>PARAF. CAB. SEXTAVADA M8 X 16 DIN 933 ( ZB )</v>
      </c>
      <c r="C1165" t="str">
        <f>"44762499"</f>
        <v>44762499</v>
      </c>
      <c r="D1165" s="9"/>
      <c r="E1165" s="13" t="s">
        <v>14</v>
      </c>
    </row>
    <row r="1166" spans="1:5" x14ac:dyDescent="0.25">
      <c r="A1166" s="5">
        <v>32</v>
      </c>
      <c r="B1166" s="6" t="str">
        <f>"PARAF. CAB. SEXTAVADA M8 X 20 DIN 933 ( ZB )"</f>
        <v>PARAF. CAB. SEXTAVADA M8 X 20 DIN 933 ( ZB )</v>
      </c>
      <c r="C1166" s="6" t="str">
        <f>"44762500"</f>
        <v>44762500</v>
      </c>
      <c r="D1166" s="10"/>
      <c r="E1166" s="13" t="s">
        <v>14</v>
      </c>
    </row>
    <row r="1167" spans="1:5" x14ac:dyDescent="0.25">
      <c r="A1167" s="4">
        <v>16</v>
      </c>
      <c r="B1167" t="str">
        <f>"PARAF. CAB. SEXTAVADA M8 X 30 DIN 933 ( ZB )"</f>
        <v>PARAF. CAB. SEXTAVADA M8 X 30 DIN 933 ( ZB )</v>
      </c>
      <c r="C1167" t="str">
        <f>"44762502"</f>
        <v>44762502</v>
      </c>
      <c r="D1167" s="9"/>
      <c r="E1167" s="13" t="s">
        <v>14</v>
      </c>
    </row>
    <row r="1168" spans="1:5" x14ac:dyDescent="0.25">
      <c r="A1168" s="5">
        <v>20</v>
      </c>
      <c r="B1168" s="6" t="str">
        <f>"PARAF. CAB. SEXTAVADA M8 X 45 DIN 933 ( ZB )"</f>
        <v>PARAF. CAB. SEXTAVADA M8 X 45 DIN 933 ( ZB )</v>
      </c>
      <c r="C1168" s="6" t="str">
        <f>"44762503"</f>
        <v>44762503</v>
      </c>
      <c r="D1168" s="10"/>
      <c r="E1168" s="13" t="s">
        <v>14</v>
      </c>
    </row>
    <row r="1169" spans="1:5" x14ac:dyDescent="0.25">
      <c r="A1169" s="4">
        <v>12</v>
      </c>
      <c r="B1169" t="str">
        <f>"PARAF. CAB. SEXTAVADA M8 X 60 DIN 933 ( ZB )"</f>
        <v>PARAF. CAB. SEXTAVADA M8 X 60 DIN 933 ( ZB )</v>
      </c>
      <c r="C1169" t="str">
        <f>"44762504"</f>
        <v>44762504</v>
      </c>
      <c r="D1169" s="9"/>
      <c r="E1169" s="13" t="s">
        <v>14</v>
      </c>
    </row>
    <row r="1170" spans="1:5" x14ac:dyDescent="0.25">
      <c r="A1170" s="5">
        <v>2</v>
      </c>
      <c r="B1170" s="6" t="str">
        <f>"PARAF. CAB. SEXTAVADA M8 X 70 DIN 933 ( ZB )"</f>
        <v>PARAF. CAB. SEXTAVADA M8 X 70 DIN 933 ( ZB )</v>
      </c>
      <c r="C1170" s="6" t="str">
        <f>"44762505"</f>
        <v>44762505</v>
      </c>
      <c r="D1170" s="10"/>
      <c r="E1170" s="13" t="s">
        <v>14</v>
      </c>
    </row>
    <row r="1171" spans="1:5" x14ac:dyDescent="0.25">
      <c r="A1171" s="4">
        <v>4</v>
      </c>
      <c r="B1171" t="str">
        <f>"PARAF. CAB. SEXTAVADA M10 X 16 DIN 933 ( ZB )"</f>
        <v>PARAF. CAB. SEXTAVADA M10 X 16 DIN 933 ( ZB )</v>
      </c>
      <c r="C1171" t="str">
        <f>"44762600"</f>
        <v>44762600</v>
      </c>
      <c r="D1171" s="9"/>
      <c r="E1171" s="13" t="s">
        <v>14</v>
      </c>
    </row>
    <row r="1172" spans="1:5" x14ac:dyDescent="0.25">
      <c r="A1172" s="5">
        <v>8</v>
      </c>
      <c r="B1172" s="6" t="str">
        <f>"PARAF. CAB. SEXTAVADA M10 X 25 DIN 933 ( ZB )"</f>
        <v>PARAF. CAB. SEXTAVADA M10 X 25 DIN 933 ( ZB )</v>
      </c>
      <c r="C1172" s="6" t="str">
        <f>"44762602"</f>
        <v>44762602</v>
      </c>
      <c r="D1172" s="10"/>
      <c r="E1172" s="13" t="s">
        <v>14</v>
      </c>
    </row>
    <row r="1173" spans="1:5" x14ac:dyDescent="0.25">
      <c r="A1173" s="4">
        <v>23</v>
      </c>
      <c r="B1173" t="str">
        <f>"PARAF. CAB. SEXTAVADA M10 X 40 DIN 933 ( ZB )"</f>
        <v>PARAF. CAB. SEXTAVADA M10 X 40 DIN 933 ( ZB )</v>
      </c>
      <c r="C1173" t="str">
        <f>"44762605"</f>
        <v>44762605</v>
      </c>
      <c r="D1173" s="9"/>
      <c r="E1173" s="13" t="s">
        <v>14</v>
      </c>
    </row>
    <row r="1174" spans="1:5" x14ac:dyDescent="0.25">
      <c r="A1174" s="5">
        <v>4</v>
      </c>
      <c r="B1174" s="6" t="str">
        <f>"PARAF. CAB. SEXTAVADA M 12 X 25 DIN 933 ( ZB )"</f>
        <v>PARAF. CAB. SEXTAVADA M 12 X 25 DIN 933 ( ZB )</v>
      </c>
      <c r="C1174" s="6" t="str">
        <f>"44762699"</f>
        <v>44762699</v>
      </c>
      <c r="D1174" s="10"/>
      <c r="E1174" s="13" t="s">
        <v>14</v>
      </c>
    </row>
    <row r="1175" spans="1:5" x14ac:dyDescent="0.25">
      <c r="A1175" s="4">
        <v>20</v>
      </c>
      <c r="B1175" t="str">
        <f>"PARAF. CAB. SEXTAVADA M 12 X 35 DIN 933 ( ZB )"</f>
        <v>PARAF. CAB. SEXTAVADA M 12 X 35 DIN 933 ( ZB )</v>
      </c>
      <c r="C1175" t="str">
        <f>"44762701"</f>
        <v>44762701</v>
      </c>
      <c r="D1175" s="9"/>
      <c r="E1175" s="13" t="s">
        <v>14</v>
      </c>
    </row>
    <row r="1176" spans="1:5" x14ac:dyDescent="0.25">
      <c r="A1176" s="5">
        <v>16</v>
      </c>
      <c r="B1176" s="6" t="str">
        <f>"PARAF. CAB. SEXTAVADA M12 X 40 DIN 933 ( ZB )"</f>
        <v>PARAF. CAB. SEXTAVADA M12 X 40 DIN 933 ( ZB )</v>
      </c>
      <c r="C1176" s="6" t="str">
        <f>"44762702"</f>
        <v>44762702</v>
      </c>
      <c r="D1176" s="10"/>
      <c r="E1176" s="13" t="s">
        <v>14</v>
      </c>
    </row>
    <row r="1177" spans="1:5" x14ac:dyDescent="0.25">
      <c r="A1177" s="4">
        <v>8</v>
      </c>
      <c r="B1177" t="str">
        <f>"PARAF. CAB. SEXTAVADA M12 X 70 DIN 933 ( ZB )"</f>
        <v>PARAF. CAB. SEXTAVADA M12 X 70 DIN 933 ( ZB )</v>
      </c>
      <c r="C1177" t="str">
        <f>"44762706"</f>
        <v>44762706</v>
      </c>
      <c r="D1177" s="9"/>
      <c r="E1177" s="13" t="s">
        <v>14</v>
      </c>
    </row>
    <row r="1178" spans="1:5" x14ac:dyDescent="0.25">
      <c r="A1178" s="5">
        <v>1</v>
      </c>
      <c r="B1178" s="6" t="str">
        <f>"PARAF. CAB. SEXTAVADA M12 X 55 DIN 933 ( ZB )"</f>
        <v>PARAF. CAB. SEXTAVADA M12 X 55 DIN 933 ( ZB )</v>
      </c>
      <c r="C1178" s="6" t="str">
        <f>"44762709"</f>
        <v>44762709</v>
      </c>
      <c r="D1178" s="10"/>
      <c r="E1178" s="13" t="s">
        <v>14</v>
      </c>
    </row>
    <row r="1179" spans="1:5" x14ac:dyDescent="0.25">
      <c r="A1179" s="4">
        <v>2</v>
      </c>
      <c r="B1179" t="str">
        <f>"PARAF. CAB. SEXTAVADA M12 X 140 DIN 931 ( ZB )"</f>
        <v>PARAF. CAB. SEXTAVADA M12 X 140 DIN 931 ( ZB )</v>
      </c>
      <c r="C1179" t="str">
        <f>"44762720"</f>
        <v>44762720</v>
      </c>
      <c r="D1179" s="9"/>
      <c r="E1179" s="13" t="s">
        <v>14</v>
      </c>
    </row>
    <row r="1180" spans="1:5" x14ac:dyDescent="0.25">
      <c r="A1180" s="5">
        <v>16</v>
      </c>
      <c r="B1180" s="6" t="str">
        <f>"PARAF. CAB. SEXTAVADA M16 X 40 DIN 933 ( ZB )"</f>
        <v>PARAF. CAB. SEXTAVADA M16 X 40 DIN 933 ( ZB )</v>
      </c>
      <c r="C1180" s="6" t="str">
        <f>"44762801"</f>
        <v>44762801</v>
      </c>
      <c r="D1180" s="10"/>
      <c r="E1180" s="13" t="s">
        <v>14</v>
      </c>
    </row>
    <row r="1181" spans="1:5" x14ac:dyDescent="0.25">
      <c r="A1181" s="4">
        <v>4</v>
      </c>
      <c r="B1181" t="str">
        <f>"PARAF. CAB. SEXTAVADA M16 X 60 DIN 933 ( ZB )"</f>
        <v>PARAF. CAB. SEXTAVADA M16 X 60 DIN 933 ( ZB )</v>
      </c>
      <c r="C1181" t="str">
        <f>"44762805"</f>
        <v>44762805</v>
      </c>
      <c r="D1181" s="9"/>
      <c r="E1181" s="13" t="s">
        <v>14</v>
      </c>
    </row>
    <row r="1182" spans="1:5" x14ac:dyDescent="0.25">
      <c r="A1182" s="5">
        <v>48</v>
      </c>
      <c r="B1182" s="6" t="str">
        <f>"PARAF. CAB. SEXTAVADA M16 X 70 DIN 933 ( ZB )"</f>
        <v>PARAF. CAB. SEXTAVADA M16 X 70 DIN 933 ( ZB )</v>
      </c>
      <c r="C1182" s="6" t="str">
        <f>"44762807"</f>
        <v>44762807</v>
      </c>
      <c r="D1182" s="10"/>
      <c r="E1182" s="13" t="s">
        <v>14</v>
      </c>
    </row>
    <row r="1183" spans="1:5" x14ac:dyDescent="0.25">
      <c r="A1183" s="4">
        <v>24</v>
      </c>
      <c r="B1183" t="str">
        <f>"PARAF. CAB. SEXTAVADA M20 X 70 DIN 933 ( ZB )"</f>
        <v>PARAF. CAB. SEXTAVADA M20 X 70 DIN 933 ( ZB )</v>
      </c>
      <c r="C1183" t="str">
        <f>"44762900"</f>
        <v>44762900</v>
      </c>
      <c r="D1183" s="9"/>
      <c r="E1183" s="13" t="s">
        <v>14</v>
      </c>
    </row>
    <row r="1184" spans="1:5" x14ac:dyDescent="0.25">
      <c r="A1184" s="5">
        <v>16</v>
      </c>
      <c r="B1184" s="6" t="str">
        <f>"PARAF. CAB. SEXTAVADA M20 X 30 DIN 933 ( ZB )"</f>
        <v>PARAF. CAB. SEXTAVADA M20 X 30 DIN 933 ( ZB )</v>
      </c>
      <c r="C1184" s="6" t="str">
        <f>"44762902"</f>
        <v>44762902</v>
      </c>
      <c r="D1184" s="10"/>
      <c r="E1184" s="13" t="s">
        <v>14</v>
      </c>
    </row>
    <row r="1185" spans="1:5" x14ac:dyDescent="0.25">
      <c r="A1185" s="4">
        <v>3</v>
      </c>
      <c r="B1185" t="str">
        <f>"PARAF. CAB. SEXTAVADA 3/8"" X 1.1/2"" ( ZB )"</f>
        <v>PARAF. CAB. SEXTAVADA 3/8" X 1.1/2" ( ZB )</v>
      </c>
      <c r="C1185" t="str">
        <f>"44763000"</f>
        <v>44763000</v>
      </c>
      <c r="D1185" s="9"/>
      <c r="E1185" s="13" t="s">
        <v>14</v>
      </c>
    </row>
    <row r="1186" spans="1:5" x14ac:dyDescent="0.25">
      <c r="A1186" s="5">
        <v>50</v>
      </c>
      <c r="B1186" s="6" t="str">
        <f>"PARAFUSO CAB. ABAULADA  M 4 X 10 DIN 7380"</f>
        <v>PARAFUSO CAB. ABAULADA  M 4 X 10 DIN 7380</v>
      </c>
      <c r="C1186" s="6" t="str">
        <f>"44763200"</f>
        <v>44763200</v>
      </c>
      <c r="D1186" s="10"/>
      <c r="E1186" s="13" t="s">
        <v>14</v>
      </c>
    </row>
    <row r="1187" spans="1:5" x14ac:dyDescent="0.25">
      <c r="A1187" s="4">
        <v>158</v>
      </c>
      <c r="B1187" t="str">
        <f>"PARAFUSO CAB. ABAULADA M 5 X 10 DIN 7380"</f>
        <v>PARAFUSO CAB. ABAULADA M 5 X 10 DIN 7380</v>
      </c>
      <c r="C1187" t="str">
        <f>"44763300"</f>
        <v>44763300</v>
      </c>
      <c r="D1187" s="9"/>
      <c r="E1187" s="13" t="s">
        <v>14</v>
      </c>
    </row>
    <row r="1188" spans="1:5" x14ac:dyDescent="0.25">
      <c r="A1188" s="5">
        <v>80</v>
      </c>
      <c r="B1188" s="6" t="str">
        <f>"PARAFUSO CAB. ABAULADA M 5 X 16 DIN 7380"</f>
        <v>PARAFUSO CAB. ABAULADA M 5 X 16 DIN 7380</v>
      </c>
      <c r="C1188" s="6" t="str">
        <f>"44763301"</f>
        <v>44763301</v>
      </c>
      <c r="D1188" s="10"/>
      <c r="E1188" s="13" t="s">
        <v>14</v>
      </c>
    </row>
    <row r="1189" spans="1:5" x14ac:dyDescent="0.25">
      <c r="A1189" s="4">
        <v>12</v>
      </c>
      <c r="B1189" t="str">
        <f>"PARAFUSO CAB. ABAULADA M 5 X 20 DIN 7380"</f>
        <v>PARAFUSO CAB. ABAULADA M 5 X 20 DIN 7380</v>
      </c>
      <c r="C1189" t="str">
        <f>"44763302"</f>
        <v>44763302</v>
      </c>
      <c r="D1189" s="9"/>
      <c r="E1189" s="13" t="s">
        <v>14</v>
      </c>
    </row>
    <row r="1190" spans="1:5" x14ac:dyDescent="0.25">
      <c r="A1190" s="5">
        <v>181</v>
      </c>
      <c r="B1190" s="6" t="str">
        <f>"PARAFUSO CAB. ABAULADA M 6 X 10 DIN 7380"</f>
        <v>PARAFUSO CAB. ABAULADA M 6 X 10 DIN 7380</v>
      </c>
      <c r="C1190" s="6" t="str">
        <f>"44763400"</f>
        <v>44763400</v>
      </c>
      <c r="D1190" s="10"/>
      <c r="E1190" s="13" t="s">
        <v>14</v>
      </c>
    </row>
    <row r="1191" spans="1:5" x14ac:dyDescent="0.25">
      <c r="A1191" s="4">
        <v>110</v>
      </c>
      <c r="B1191" t="str">
        <f>"PARAFUSO CAB. ABAULADA M 6 X 16 DIN 7380"</f>
        <v>PARAFUSO CAB. ABAULADA M 6 X 16 DIN 7380</v>
      </c>
      <c r="C1191" t="str">
        <f>"44763401"</f>
        <v>44763401</v>
      </c>
      <c r="D1191" s="9"/>
      <c r="E1191" s="13" t="s">
        <v>14</v>
      </c>
    </row>
    <row r="1192" spans="1:5" x14ac:dyDescent="0.25">
      <c r="A1192" s="5">
        <v>8</v>
      </c>
      <c r="B1192" s="6" t="str">
        <f>"PARAFUSO CAB. CHATA M 3 X 8 DIN 7991"</f>
        <v>PARAFUSO CAB. CHATA M 3 X 8 DIN 7991</v>
      </c>
      <c r="C1192" s="6" t="str">
        <f>"44763700"</f>
        <v>44763700</v>
      </c>
      <c r="D1192" s="10"/>
      <c r="E1192" s="13" t="s">
        <v>14</v>
      </c>
    </row>
    <row r="1193" spans="1:5" x14ac:dyDescent="0.25">
      <c r="A1193" s="4">
        <v>116</v>
      </c>
      <c r="B1193" t="str">
        <f>"PARAFUSO CAB. CHATA M 6 X 16 DIN 7991"</f>
        <v>PARAFUSO CAB. CHATA M 6 X 16 DIN 7991</v>
      </c>
      <c r="C1193" t="str">
        <f>"44763702"</f>
        <v>44763702</v>
      </c>
      <c r="D1193" s="9"/>
      <c r="E1193" s="13" t="s">
        <v>14</v>
      </c>
    </row>
    <row r="1194" spans="1:5" x14ac:dyDescent="0.25">
      <c r="A1194" s="5">
        <v>8</v>
      </c>
      <c r="B1194" s="6" t="str">
        <f>"PARAFUSO CAB. CHATA M 6 X 20 DIN 7991"</f>
        <v>PARAFUSO CAB. CHATA M 6 X 20 DIN 7991</v>
      </c>
      <c r="C1194" s="6" t="str">
        <f>"44763703"</f>
        <v>44763703</v>
      </c>
      <c r="D1194" s="10"/>
      <c r="E1194" s="13" t="s">
        <v>14</v>
      </c>
    </row>
    <row r="1195" spans="1:5" x14ac:dyDescent="0.25">
      <c r="A1195" s="4">
        <v>12</v>
      </c>
      <c r="B1195" t="str">
        <f>"PARAFUSO CAB. CHATA M 5 X 10 DIN 7991"</f>
        <v>PARAFUSO CAB. CHATA M 5 X 10 DIN 7991</v>
      </c>
      <c r="C1195" t="str">
        <f>"44763709"</f>
        <v>44763709</v>
      </c>
      <c r="D1195" s="9"/>
      <c r="E1195" s="13" t="s">
        <v>14</v>
      </c>
    </row>
    <row r="1196" spans="1:5" x14ac:dyDescent="0.25">
      <c r="A1196" s="5">
        <v>12</v>
      </c>
      <c r="B1196" s="6" t="str">
        <f>"PARAFUSO CAB. CILINDRICA M 5 X 8 DIN 84"</f>
        <v>PARAFUSO CAB. CILINDRICA M 5 X 8 DIN 84</v>
      </c>
      <c r="C1196" s="6" t="str">
        <f>"44764000"</f>
        <v>44764000</v>
      </c>
      <c r="D1196" s="10"/>
      <c r="E1196" s="13" t="s">
        <v>14</v>
      </c>
    </row>
    <row r="1197" spans="1:5" x14ac:dyDescent="0.25">
      <c r="A1197" s="4">
        <v>106</v>
      </c>
      <c r="B1197" t="str">
        <f>"PARAF. MAQ. PHILLIPS CAB. PANELA M6x40 (ZA)"</f>
        <v>PARAF. MAQ. PHILLIPS CAB. PANELA M6x40 (ZA)</v>
      </c>
      <c r="C1197" t="str">
        <f>"44764030"</f>
        <v>44764030</v>
      </c>
      <c r="D1197" s="9"/>
      <c r="E1197" s="13" t="s">
        <v>14</v>
      </c>
    </row>
    <row r="1198" spans="1:5" x14ac:dyDescent="0.25">
      <c r="A1198" s="5">
        <v>218</v>
      </c>
      <c r="B1198" s="6" t="str">
        <f>"PARAF. MAQ. PHILLIPS CAB. PANELA M6x16 (ZA)"</f>
        <v>PARAF. MAQ. PHILLIPS CAB. PANELA M6x16 (ZA)</v>
      </c>
      <c r="C1198" s="6" t="str">
        <f>"44764031"</f>
        <v>44764031</v>
      </c>
      <c r="D1198" s="10"/>
      <c r="E1198" s="13" t="s">
        <v>14</v>
      </c>
    </row>
    <row r="1199" spans="1:5" x14ac:dyDescent="0.25">
      <c r="A1199" s="4">
        <v>111</v>
      </c>
      <c r="B1199" t="str">
        <f>"PARAF. MAQ. PHILLIPS CAB. PANELA M6x10 (ZA)"</f>
        <v>PARAF. MAQ. PHILLIPS CAB. PANELA M6x10 (ZA)</v>
      </c>
      <c r="C1199" t="str">
        <f>"44764032"</f>
        <v>44764032</v>
      </c>
      <c r="D1199" s="9"/>
      <c r="E1199" s="13" t="s">
        <v>14</v>
      </c>
    </row>
    <row r="1200" spans="1:5" x14ac:dyDescent="0.25">
      <c r="A1200" s="5">
        <v>50</v>
      </c>
      <c r="B1200" s="6" t="str">
        <f>"PARAF. MAQ. PHILLIPS CAB. PANELA M4x16 (ZA)"</f>
        <v>PARAF. MAQ. PHILLIPS CAB. PANELA M4x16 (ZA)</v>
      </c>
      <c r="C1200" s="6" t="str">
        <f>"44764050"</f>
        <v>44764050</v>
      </c>
      <c r="D1200" s="10"/>
      <c r="E1200" s="13" t="s">
        <v>14</v>
      </c>
    </row>
    <row r="1201" spans="1:5" x14ac:dyDescent="0.25">
      <c r="A1201" s="4">
        <v>4</v>
      </c>
      <c r="B1201" t="str">
        <f>"PARAFUSO COM OLHAL  BM 10 X 40 ZN 8/12 DIN 444/439"</f>
        <v>PARAFUSO COM OLHAL  BM 10 X 40 ZN 8/12 DIN 444/439</v>
      </c>
      <c r="C1201" t="str">
        <f>"44764200"</f>
        <v>44764200</v>
      </c>
      <c r="D1201" s="9"/>
      <c r="E1201" s="13" t="s">
        <v>14</v>
      </c>
    </row>
    <row r="1202" spans="1:5" x14ac:dyDescent="0.25">
      <c r="A1202" s="5">
        <v>6</v>
      </c>
      <c r="B1202" s="6" t="str">
        <f>"PARAF. AUTO ATARR. PANELA 4,2 X 9,5 DIN 7971"</f>
        <v>PARAF. AUTO ATARR. PANELA 4,2 X 9,5 DIN 7971</v>
      </c>
      <c r="C1202" s="6" t="str">
        <f>"44764301"</f>
        <v>44764301</v>
      </c>
      <c r="D1202" s="10"/>
      <c r="E1202" s="13" t="s">
        <v>14</v>
      </c>
    </row>
    <row r="1203" spans="1:5" x14ac:dyDescent="0.25">
      <c r="A1203" s="4">
        <v>22</v>
      </c>
      <c r="B1203" t="str">
        <f>"PARAF. AUTO ATARR. PANELA 3,5 X 9,5 DIN 7971"</f>
        <v>PARAF. AUTO ATARR. PANELA 3,5 X 9,5 DIN 7971</v>
      </c>
      <c r="C1203" t="str">
        <f>"44764305"</f>
        <v>44764305</v>
      </c>
      <c r="D1203" s="9"/>
      <c r="E1203" s="13" t="s">
        <v>14</v>
      </c>
    </row>
    <row r="1204" spans="1:5" x14ac:dyDescent="0.25">
      <c r="A1204" s="5">
        <v>1750</v>
      </c>
      <c r="B1204" s="6" t="str">
        <f>"PARAF. AUTO BROCANTE CAB SEXT. - 4,2 X 13 mm"</f>
        <v>PARAF. AUTO BROCANTE CAB SEXT. - 4,2 X 13 mm</v>
      </c>
      <c r="C1204" s="6" t="str">
        <f>"44764420"</f>
        <v>44764420</v>
      </c>
      <c r="D1204" s="10"/>
      <c r="E1204" s="13" t="s">
        <v>14</v>
      </c>
    </row>
    <row r="1205" spans="1:5" x14ac:dyDescent="0.25">
      <c r="A1205" s="4">
        <v>4</v>
      </c>
      <c r="B1205" t="str">
        <f>"PARAFUSO ALLEN C/C  M8 X 30 DIN 912 - INOX"</f>
        <v>PARAFUSO ALLEN C/C  M8 X 30 DIN 912 - INOX</v>
      </c>
      <c r="C1205" t="str">
        <f>"44765001"</f>
        <v>44765001</v>
      </c>
      <c r="D1205" s="9"/>
      <c r="E1205" s="13" t="s">
        <v>14</v>
      </c>
    </row>
    <row r="1206" spans="1:5" x14ac:dyDescent="0.25">
      <c r="A1206" s="5">
        <v>8</v>
      </c>
      <c r="B1206" s="6" t="str">
        <f>"PARAFUSO ALLEN C/C  M5 X 16 DIN 912 - INOX"</f>
        <v>PARAFUSO ALLEN C/C  M5 X 16 DIN 912 - INOX</v>
      </c>
      <c r="C1206" s="6" t="str">
        <f>"44765007"</f>
        <v>44765007</v>
      </c>
      <c r="D1206" s="10"/>
      <c r="E1206" s="13" t="s">
        <v>14</v>
      </c>
    </row>
    <row r="1207" spans="1:5" x14ac:dyDescent="0.25">
      <c r="A1207" s="4">
        <v>12</v>
      </c>
      <c r="B1207" t="str">
        <f>"PARAFUSO ALLEN C/C  M6 X 10 DIN 912 - INOX"</f>
        <v>PARAFUSO ALLEN C/C  M6 X 10 DIN 912 - INOX</v>
      </c>
      <c r="C1207" t="str">
        <f>"44765010"</f>
        <v>44765010</v>
      </c>
      <c r="D1207" s="9"/>
      <c r="E1207" s="13" t="s">
        <v>14</v>
      </c>
    </row>
    <row r="1208" spans="1:5" x14ac:dyDescent="0.25">
      <c r="A1208" s="5">
        <v>16</v>
      </c>
      <c r="B1208" s="6" t="str">
        <f>"PARAFUSO ALLEN C/C  M6 X 20 DIN 912 - INOX"</f>
        <v>PARAFUSO ALLEN C/C  M6 X 20 DIN 912 - INOX</v>
      </c>
      <c r="C1208" s="6" t="str">
        <f>"44765012"</f>
        <v>44765012</v>
      </c>
      <c r="D1208" s="10"/>
      <c r="E1208" s="13" t="s">
        <v>14</v>
      </c>
    </row>
    <row r="1209" spans="1:5" x14ac:dyDescent="0.25">
      <c r="A1209" s="4">
        <v>32</v>
      </c>
      <c r="B1209" t="str">
        <f>"PARAFUSO CAB. ABAULADA M6x10 DIN 7380 INOX"</f>
        <v>PARAFUSO CAB. ABAULADA M6x10 DIN 7380 INOX</v>
      </c>
      <c r="C1209" t="str">
        <f>"44765032"</f>
        <v>44765032</v>
      </c>
      <c r="D1209" s="9"/>
      <c r="E1209" s="13" t="s">
        <v>14</v>
      </c>
    </row>
    <row r="1210" spans="1:5" x14ac:dyDescent="0.25">
      <c r="A1210" s="5">
        <v>4.8419999999999996</v>
      </c>
      <c r="B1210" s="6" t="str">
        <f>"PERFIL DE ALUMINIO"</f>
        <v>PERFIL DE ALUMINIO</v>
      </c>
      <c r="C1210" s="6" t="str">
        <f>"44810001"</f>
        <v>44810001</v>
      </c>
      <c r="D1210" s="10"/>
      <c r="E1210" s="13" t="s">
        <v>14</v>
      </c>
    </row>
    <row r="1211" spans="1:5" x14ac:dyDescent="0.25">
      <c r="A1211" s="4">
        <v>28</v>
      </c>
      <c r="B1211" t="str">
        <f>"PINO ELÁSTICO -  Ø 4 X 20"</f>
        <v>PINO ELÁSTICO -  Ø 4 X 20</v>
      </c>
      <c r="C1211" t="str">
        <f>"44880010"</f>
        <v>44880010</v>
      </c>
      <c r="D1211" s="9"/>
      <c r="E1211" s="13" t="s">
        <v>14</v>
      </c>
    </row>
    <row r="1212" spans="1:5" x14ac:dyDescent="0.25">
      <c r="A1212" s="5">
        <v>18</v>
      </c>
      <c r="B1212" s="6" t="str">
        <f>"PINO GUIA  - Ø 10 X 36 DIN 6325"</f>
        <v>PINO GUIA  - Ø 10 X 36 DIN 6325</v>
      </c>
      <c r="C1212" s="6" t="str">
        <f>"44880065"</f>
        <v>44880065</v>
      </c>
      <c r="D1212" s="10"/>
      <c r="E1212" s="13" t="s">
        <v>14</v>
      </c>
    </row>
    <row r="1213" spans="1:5" x14ac:dyDescent="0.25">
      <c r="A1213" s="4">
        <v>12</v>
      </c>
      <c r="B1213" t="str">
        <f>"PINO GUIA- Ø 10 X 50 DIN 6325"</f>
        <v>PINO GUIA- Ø 10 X 50 DIN 6325</v>
      </c>
      <c r="C1213" t="str">
        <f>"44880066"</f>
        <v>44880066</v>
      </c>
      <c r="D1213" s="9"/>
      <c r="E1213" s="13" t="s">
        <v>14</v>
      </c>
    </row>
    <row r="1214" spans="1:5" x14ac:dyDescent="0.25">
      <c r="A1214" s="5">
        <v>8</v>
      </c>
      <c r="B1214" s="6" t="str">
        <f>"PINO GUIA - Ø 16 X 50 DIN 6325"</f>
        <v>PINO GUIA - Ø 16 X 50 DIN 6325</v>
      </c>
      <c r="C1214" s="6" t="str">
        <f>"44880076"</f>
        <v>44880076</v>
      </c>
      <c r="D1214" s="10"/>
      <c r="E1214" s="13" t="s">
        <v>14</v>
      </c>
    </row>
    <row r="1215" spans="1:5" x14ac:dyDescent="0.25">
      <c r="A1215" s="4">
        <v>64</v>
      </c>
      <c r="B1215" t="str">
        <f>"PINO GUIA  - Ø 8 X 36 DIN 7979"</f>
        <v>PINO GUIA  - Ø 8 X 36 DIN 7979</v>
      </c>
      <c r="C1215" t="str">
        <f>"44880110"</f>
        <v>44880110</v>
      </c>
      <c r="D1215" s="9"/>
      <c r="E1215" s="13" t="s">
        <v>14</v>
      </c>
    </row>
    <row r="1216" spans="1:5" x14ac:dyDescent="0.25">
      <c r="A1216" s="5">
        <v>4</v>
      </c>
      <c r="B1216" s="6" t="str">
        <f>"PINO GUIA -  Ø 12 X 50 DIN 7979"</f>
        <v>PINO GUIA -  Ø 12 X 50 DIN 7979</v>
      </c>
      <c r="C1216" s="6" t="str">
        <f>"44880116"</f>
        <v>44880116</v>
      </c>
      <c r="D1216" s="10"/>
      <c r="E1216" s="13" t="s">
        <v>14</v>
      </c>
    </row>
    <row r="1217" spans="1:5" x14ac:dyDescent="0.25">
      <c r="A1217" s="4">
        <v>0.1</v>
      </c>
      <c r="B1217" t="str">
        <f>"PLACA DE EVA  - ESP. 2,5 mm - 1,2 X 2,0 m"</f>
        <v>PLACA DE EVA  - ESP. 2,5 mm - 1,2 X 2,0 m</v>
      </c>
      <c r="C1217" t="str">
        <f>"44920100"</f>
        <v>44920100</v>
      </c>
      <c r="D1217" s="9"/>
      <c r="E1217" s="13" t="s">
        <v>14</v>
      </c>
    </row>
    <row r="1218" spans="1:5" x14ac:dyDescent="0.25">
      <c r="A1218" s="5">
        <v>28</v>
      </c>
      <c r="B1218" s="6" t="str">
        <f>"PORCA SEXTAVADA M5 DIN 934"</f>
        <v>PORCA SEXTAVADA M5 DIN 934</v>
      </c>
      <c r="C1218" s="6" t="str">
        <f>"45020002"</f>
        <v>45020002</v>
      </c>
      <c r="D1218" s="10"/>
      <c r="E1218" s="13" t="s">
        <v>14</v>
      </c>
    </row>
    <row r="1219" spans="1:5" x14ac:dyDescent="0.25">
      <c r="A1219" s="4">
        <v>103</v>
      </c>
      <c r="B1219" t="str">
        <f>"PORCA SEXTAVADA M6 DIN 934"</f>
        <v>PORCA SEXTAVADA M6 DIN 934</v>
      </c>
      <c r="C1219" t="str">
        <f>"45020003"</f>
        <v>45020003</v>
      </c>
      <c r="D1219" s="9"/>
      <c r="E1219" s="13" t="s">
        <v>14</v>
      </c>
    </row>
    <row r="1220" spans="1:5" x14ac:dyDescent="0.25">
      <c r="A1220" s="5">
        <v>208</v>
      </c>
      <c r="B1220" s="6" t="str">
        <f>"PORCA SEXTAVADA M8 DIN 934"</f>
        <v>PORCA SEXTAVADA M8 DIN 934</v>
      </c>
      <c r="C1220" s="6" t="str">
        <f>"45020004"</f>
        <v>45020004</v>
      </c>
      <c r="D1220" s="10"/>
      <c r="E1220" s="13" t="s">
        <v>14</v>
      </c>
    </row>
    <row r="1221" spans="1:5" x14ac:dyDescent="0.25">
      <c r="A1221" s="4">
        <v>106</v>
      </c>
      <c r="B1221" t="str">
        <f>"PORCA SEXTAVADA M10 DIN 934"</f>
        <v>PORCA SEXTAVADA M10 DIN 934</v>
      </c>
      <c r="C1221" t="str">
        <f>"45020005"</f>
        <v>45020005</v>
      </c>
      <c r="D1221" s="9"/>
      <c r="E1221" s="13" t="s">
        <v>14</v>
      </c>
    </row>
    <row r="1222" spans="1:5" x14ac:dyDescent="0.25">
      <c r="A1222" s="5">
        <v>17</v>
      </c>
      <c r="B1222" s="6" t="str">
        <f>"PORCA SEXTAVADA M12 DIN 934"</f>
        <v>PORCA SEXTAVADA M12 DIN 934</v>
      </c>
      <c r="C1222" s="6" t="str">
        <f>"45020006"</f>
        <v>45020006</v>
      </c>
      <c r="D1222" s="10"/>
      <c r="E1222" s="13" t="s">
        <v>14</v>
      </c>
    </row>
    <row r="1223" spans="1:5" x14ac:dyDescent="0.25">
      <c r="A1223" s="4">
        <v>66</v>
      </c>
      <c r="B1223" t="str">
        <f>"PORCA SEXTAVADA M16 DIN 934"</f>
        <v>PORCA SEXTAVADA M16 DIN 934</v>
      </c>
      <c r="C1223" t="str">
        <f>"45020009"</f>
        <v>45020009</v>
      </c>
      <c r="D1223" s="9"/>
      <c r="E1223" s="13" t="s">
        <v>14</v>
      </c>
    </row>
    <row r="1224" spans="1:5" x14ac:dyDescent="0.25">
      <c r="A1224" s="5">
        <v>34</v>
      </c>
      <c r="B1224" s="6" t="str">
        <f>"PORCA SEXTAVADA M3 DIN 934"</f>
        <v>PORCA SEXTAVADA M3 DIN 934</v>
      </c>
      <c r="C1224" s="6" t="str">
        <f>"45020014"</f>
        <v>45020014</v>
      </c>
      <c r="D1224" s="10"/>
      <c r="E1224" s="13" t="s">
        <v>14</v>
      </c>
    </row>
    <row r="1225" spans="1:5" x14ac:dyDescent="0.25">
      <c r="A1225" s="4">
        <v>8</v>
      </c>
      <c r="B1225" t="str">
        <f>"PORCA DE FIXAÇAO  KM 3 - M 17 X 1,0"</f>
        <v>PORCA DE FIXAÇAO  KM 3 - M 17 X 1,0</v>
      </c>
      <c r="C1225" t="str">
        <f>"45020016"</f>
        <v>45020016</v>
      </c>
      <c r="D1225" s="9"/>
      <c r="E1225" s="13" t="s">
        <v>14</v>
      </c>
    </row>
    <row r="1226" spans="1:5" x14ac:dyDescent="0.25">
      <c r="A1226" s="5">
        <v>1</v>
      </c>
      <c r="B1226" s="6" t="str">
        <f>"PORCA DE FIXAÇAO KM 12 - M 60 X 2"</f>
        <v>PORCA DE FIXAÇAO KM 12 - M 60 X 2</v>
      </c>
      <c r="C1226" s="6" t="str">
        <f>"45020018"</f>
        <v>45020018</v>
      </c>
      <c r="D1226" s="10"/>
      <c r="E1226" s="13" t="s">
        <v>14</v>
      </c>
    </row>
    <row r="1227" spans="1:5" x14ac:dyDescent="0.25">
      <c r="A1227" s="4">
        <v>32</v>
      </c>
      <c r="B1227" t="str">
        <f>"PORCA DE FIXAÇAO  KMT 3 - M 17 X 1,0"</f>
        <v>PORCA DE FIXAÇAO  KMT 3 - M 17 X 1,0</v>
      </c>
      <c r="C1227" t="str">
        <f>"45020019"</f>
        <v>45020019</v>
      </c>
      <c r="D1227" s="9"/>
      <c r="E1227" s="13" t="s">
        <v>14</v>
      </c>
    </row>
    <row r="1228" spans="1:5" x14ac:dyDescent="0.25">
      <c r="A1228" s="5">
        <v>8</v>
      </c>
      <c r="B1228" s="6" t="str">
        <f>"PORCA PARLOK M4 DIN 982"</f>
        <v>PORCA PARLOK M4 DIN 982</v>
      </c>
      <c r="C1228" s="6" t="str">
        <f>"45020020"</f>
        <v>45020020</v>
      </c>
      <c r="D1228" s="10"/>
      <c r="E1228" s="13" t="s">
        <v>14</v>
      </c>
    </row>
    <row r="1229" spans="1:5" x14ac:dyDescent="0.25">
      <c r="A1229" s="4">
        <v>52</v>
      </c>
      <c r="B1229" t="str">
        <f>"PORCA PARLOK M5 DIN 982"</f>
        <v>PORCA PARLOK M5 DIN 982</v>
      </c>
      <c r="C1229" t="str">
        <f>"45020021"</f>
        <v>45020021</v>
      </c>
      <c r="D1229" s="9"/>
      <c r="E1229" s="13" t="s">
        <v>14</v>
      </c>
    </row>
    <row r="1230" spans="1:5" x14ac:dyDescent="0.25">
      <c r="A1230" s="5">
        <v>63</v>
      </c>
      <c r="B1230" s="6" t="str">
        <f>"PORCA PARLOK M6 DIN 982"</f>
        <v>PORCA PARLOK M6 DIN 982</v>
      </c>
      <c r="C1230" s="6" t="str">
        <f>"45020022"</f>
        <v>45020022</v>
      </c>
      <c r="D1230" s="10"/>
      <c r="E1230" s="13" t="s">
        <v>14</v>
      </c>
    </row>
    <row r="1231" spans="1:5" x14ac:dyDescent="0.25">
      <c r="A1231" s="4">
        <v>8</v>
      </c>
      <c r="B1231" t="str">
        <f>"PORCA DE FIXAÇAO  KM 4 - M 20 X 1"</f>
        <v>PORCA DE FIXAÇAO  KM 4 - M 20 X 1</v>
      </c>
      <c r="C1231" t="str">
        <f>"45020025"</f>
        <v>45020025</v>
      </c>
      <c r="D1231" s="9"/>
      <c r="E1231" s="13" t="s">
        <v>14</v>
      </c>
    </row>
    <row r="1232" spans="1:5" x14ac:dyDescent="0.25">
      <c r="A1232" s="5">
        <v>2</v>
      </c>
      <c r="B1232" s="6" t="str">
        <f>"CONTRA PORCA (ZB) 1/2' x 20 UNF"</f>
        <v>CONTRA PORCA (ZB) 1/2' x 20 UNF</v>
      </c>
      <c r="C1232" s="6" t="str">
        <f>"45020040"</f>
        <v>45020040</v>
      </c>
      <c r="D1232" s="10"/>
      <c r="E1232" s="13" t="s">
        <v>14</v>
      </c>
    </row>
    <row r="1233" spans="1:5" x14ac:dyDescent="0.25">
      <c r="A1233" s="4">
        <v>1</v>
      </c>
      <c r="B1233" t="str">
        <f>"PORCA DE FIXAÇAO KM 24 - M 120 X 2"</f>
        <v>PORCA DE FIXAÇAO KM 24 - M 120 X 2</v>
      </c>
      <c r="C1233" t="str">
        <f>"45020120"</f>
        <v>45020120</v>
      </c>
      <c r="D1233" s="9"/>
      <c r="E1233" s="13" t="s">
        <v>14</v>
      </c>
    </row>
    <row r="1234" spans="1:5" x14ac:dyDescent="0.25">
      <c r="A1234" s="5">
        <v>2</v>
      </c>
      <c r="B1234" s="6" t="str">
        <f>"PORCA DE FIXAÇAO KM 31 - M 155 X 3"</f>
        <v>PORCA DE FIXAÇAO KM 31 - M 155 X 3</v>
      </c>
      <c r="C1234" s="6" t="str">
        <f>"45020125"</f>
        <v>45020125</v>
      </c>
      <c r="D1234" s="10"/>
      <c r="E1234" s="13" t="s">
        <v>14</v>
      </c>
    </row>
    <row r="1235" spans="1:5" x14ac:dyDescent="0.25">
      <c r="A1235" s="4">
        <v>12</v>
      </c>
      <c r="B1235" t="str">
        <f>"PORCA CONTRA-PORCA 1/2"" BSP  ACI-11- INOX"</f>
        <v>PORCA CONTRA-PORCA 1/2" BSP  ACI-11- INOX</v>
      </c>
      <c r="C1235" t="str">
        <f>"45020350"</f>
        <v>45020350</v>
      </c>
      <c r="D1235" s="9"/>
      <c r="E1235" s="13" t="s">
        <v>14</v>
      </c>
    </row>
    <row r="1236" spans="1:5" x14ac:dyDescent="0.25">
      <c r="A1236" s="5">
        <v>12</v>
      </c>
      <c r="B1236" s="6" t="str">
        <f>"PORCA CONTRA-PORCA 3/4"" BSP ACI-11- INOX"</f>
        <v>PORCA CONTRA-PORCA 3/4" BSP ACI-11- INOX</v>
      </c>
      <c r="C1236" s="6" t="str">
        <f>"45020351"</f>
        <v>45020351</v>
      </c>
      <c r="D1236" s="10"/>
      <c r="E1236" s="13" t="s">
        <v>14</v>
      </c>
    </row>
    <row r="1237" spans="1:5" x14ac:dyDescent="0.25">
      <c r="A1237" s="4">
        <v>12</v>
      </c>
      <c r="B1237" t="str">
        <f>"PORCA CONTRA-PORCA 1/4"" BSP LATÃO"</f>
        <v>PORCA CONTRA-PORCA 1/4" BSP LATÃO</v>
      </c>
      <c r="C1237" t="str">
        <f>"45020353"</f>
        <v>45020353</v>
      </c>
      <c r="D1237" s="9"/>
      <c r="E1237" s="13" t="s">
        <v>14</v>
      </c>
    </row>
    <row r="1238" spans="1:5" x14ac:dyDescent="0.25">
      <c r="A1238" s="5">
        <v>121</v>
      </c>
      <c r="B1238" s="6" t="str">
        <f>"PORCA MEIA CANA M6 BASE 30"</f>
        <v>PORCA MEIA CANA M6 BASE 30</v>
      </c>
      <c r="C1238" s="6" t="str">
        <f>"45022000"</f>
        <v>45022000</v>
      </c>
      <c r="D1238" s="10"/>
      <c r="E1238" s="13" t="s">
        <v>14</v>
      </c>
    </row>
    <row r="1239" spans="1:5" x14ac:dyDescent="0.25">
      <c r="A1239" s="4">
        <v>40</v>
      </c>
      <c r="B1239" t="str">
        <f>"PORCA MEIA CANA M4 BASE 30"</f>
        <v>PORCA MEIA CANA M4 BASE 30</v>
      </c>
      <c r="C1239" t="str">
        <f>"45022001"</f>
        <v>45022001</v>
      </c>
      <c r="D1239" s="9"/>
      <c r="E1239" s="13" t="s">
        <v>14</v>
      </c>
    </row>
    <row r="1240" spans="1:5" x14ac:dyDescent="0.25">
      <c r="A1240" s="5">
        <v>10</v>
      </c>
      <c r="B1240" s="6" t="str">
        <f>"PUXADOR EMBUTIDO PRETO"</f>
        <v>PUXADOR EMBUTIDO PRETO</v>
      </c>
      <c r="C1240" s="6" t="str">
        <f>"45160001"</f>
        <v>45160001</v>
      </c>
      <c r="D1240" s="10"/>
      <c r="E1240" s="13" t="s">
        <v>14</v>
      </c>
    </row>
    <row r="1241" spans="1:5" x14ac:dyDescent="0.25">
      <c r="A1241" s="4">
        <v>16</v>
      </c>
      <c r="B1241" t="str">
        <f>"PUXADOR ESFERA DE BAQUELITE EP-O25 M8"</f>
        <v>PUXADOR ESFERA DE BAQUELITE EP-O25 M8</v>
      </c>
      <c r="C1241" t="str">
        <f>"45160005"</f>
        <v>45160005</v>
      </c>
      <c r="D1241" s="9"/>
      <c r="E1241" s="13" t="s">
        <v>14</v>
      </c>
    </row>
    <row r="1242" spans="1:5" x14ac:dyDescent="0.25">
      <c r="A1242" s="5">
        <v>314</v>
      </c>
      <c r="B1242" s="6" t="str">
        <f>"REBITE POP 1/8 ""X 1/2"" ( 3,2 X 12,7 mm)"</f>
        <v>REBITE POP 1/8 "X 1/2" ( 3,2 X 12,7 mm)</v>
      </c>
      <c r="C1242" s="6" t="str">
        <f>"45320000"</f>
        <v>45320000</v>
      </c>
      <c r="D1242" s="10"/>
      <c r="E1242" s="13" t="s">
        <v>14</v>
      </c>
    </row>
    <row r="1243" spans="1:5" x14ac:dyDescent="0.25">
      <c r="A1243" s="4">
        <v>200</v>
      </c>
      <c r="B1243" t="str">
        <f>"REBITE POP 3/16""X 3/8"" ( 4,8 x 10 mm)"</f>
        <v>REBITE POP 3/16"X 3/8" ( 4,8 x 10 mm)</v>
      </c>
      <c r="C1243" t="str">
        <f>"45320003"</f>
        <v>45320003</v>
      </c>
      <c r="D1243" s="9"/>
      <c r="E1243" s="13" t="s">
        <v>14</v>
      </c>
    </row>
    <row r="1244" spans="1:5" x14ac:dyDescent="0.25">
      <c r="A1244" s="5">
        <v>210</v>
      </c>
      <c r="B1244" s="6" t="str">
        <f>"REBITE REPUXO PRETO ( POP)  3/16"" x 3/4""  (4,8 x 19 mm)"</f>
        <v>REBITE REPUXO PRETO ( POP)  3/16" x 3/4"  (4,8 x 19 mm)</v>
      </c>
      <c r="C1244" s="6" t="str">
        <f>"45320014"</f>
        <v>45320014</v>
      </c>
      <c r="D1244" s="10"/>
      <c r="E1244" s="13" t="s">
        <v>14</v>
      </c>
    </row>
    <row r="1245" spans="1:5" x14ac:dyDescent="0.25">
      <c r="A1245" s="4">
        <v>46</v>
      </c>
      <c r="B1245" t="str">
        <f>"REBITE COM ROSCA M5"</f>
        <v>REBITE COM ROSCA M5</v>
      </c>
      <c r="C1245" t="str">
        <f>"45320017"</f>
        <v>45320017</v>
      </c>
      <c r="D1245" s="9"/>
      <c r="E1245" s="13" t="s">
        <v>14</v>
      </c>
    </row>
    <row r="1246" spans="1:5" x14ac:dyDescent="0.25">
      <c r="A1246" s="5">
        <v>435</v>
      </c>
      <c r="B1246" s="6" t="str">
        <f>"REBITE COM ROSCA M6"</f>
        <v>REBITE COM ROSCA M6</v>
      </c>
      <c r="C1246" s="6" t="str">
        <f>"45320018"</f>
        <v>45320018</v>
      </c>
      <c r="D1246" s="10"/>
      <c r="E1246" s="13" t="s">
        <v>14</v>
      </c>
    </row>
    <row r="1247" spans="1:5" x14ac:dyDescent="0.25">
      <c r="A1247" s="4">
        <v>61</v>
      </c>
      <c r="B1247" t="str">
        <f>"REBITE COM ROSCA M8"</f>
        <v>REBITE COM ROSCA M8</v>
      </c>
      <c r="C1247" t="str">
        <f>"45320019"</f>
        <v>45320019</v>
      </c>
      <c r="D1247" s="9"/>
      <c r="E1247" s="13" t="s">
        <v>14</v>
      </c>
    </row>
    <row r="1248" spans="1:5" x14ac:dyDescent="0.25">
      <c r="A1248" s="5">
        <v>8</v>
      </c>
      <c r="B1248" s="6" t="str">
        <f>"Redutor  VF 44 P1 07 P71B14 B3"</f>
        <v>Redutor  VF 44 P1 07 P71B14 B3</v>
      </c>
      <c r="C1248" s="6" t="str">
        <f>"45380020"</f>
        <v>45380020</v>
      </c>
      <c r="D1248" s="10"/>
      <c r="E1248" s="13" t="s">
        <v>14</v>
      </c>
    </row>
    <row r="1249" spans="1:5" x14ac:dyDescent="0.25">
      <c r="A1249" s="4">
        <v>2</v>
      </c>
      <c r="B1249" t="s">
        <v>0</v>
      </c>
      <c r="C1249" t="str">
        <f>"45380021"</f>
        <v>45380021</v>
      </c>
      <c r="D1249" s="9"/>
      <c r="E1249" s="13" t="s">
        <v>14</v>
      </c>
    </row>
    <row r="1250" spans="1:5" x14ac:dyDescent="0.25">
      <c r="A1250" s="5">
        <v>2</v>
      </c>
      <c r="B1250" s="6" t="str">
        <f>"REDUTOR VF44 L1 P1 1/7 P71B14 B3 C/ LIMITADOR DE TORQUE DIR."</f>
        <v>REDUTOR VF44 L1 P1 1/7 P71B14 B3 C/ LIMITADOR DE TORQUE DIR.</v>
      </c>
      <c r="C1250" s="6" t="str">
        <f>"45380022"</f>
        <v>45380022</v>
      </c>
      <c r="D1250" s="10"/>
      <c r="E1250" s="13" t="s">
        <v>14</v>
      </c>
    </row>
    <row r="1251" spans="1:5" x14ac:dyDescent="0.25">
      <c r="A1251" s="4">
        <v>2</v>
      </c>
      <c r="B1251" t="str">
        <f>"REDUTOR VF44 L2 P1 1/7 P71B14 B3 C/ LIMITADOR DE TORQUE ESQ."</f>
        <v>REDUTOR VF44 L2 P1 1/7 P71B14 B3 C/ LIMITADOR DE TORQUE ESQ.</v>
      </c>
      <c r="C1251" t="str">
        <f>"45380023"</f>
        <v>45380023</v>
      </c>
      <c r="D1251" s="9"/>
      <c r="E1251" s="13" t="s">
        <v>14</v>
      </c>
    </row>
    <row r="1252" spans="1:5" x14ac:dyDescent="0.25">
      <c r="A1252" s="5">
        <v>1</v>
      </c>
      <c r="B1252" s="6" t="str">
        <f>"RETENTOR ø 115 x ø 150 X 12"</f>
        <v>RETENTOR ø 115 x ø 150 X 12</v>
      </c>
      <c r="C1252" s="6" t="str">
        <f>"45510003"</f>
        <v>45510003</v>
      </c>
      <c r="D1252" s="10"/>
      <c r="E1252" s="13" t="s">
        <v>14</v>
      </c>
    </row>
    <row r="1253" spans="1:5" x14ac:dyDescent="0.25">
      <c r="A1253" s="4">
        <v>2</v>
      </c>
      <c r="B1253" t="str">
        <f>"RETENTOR ø 180 x ø 210 X 15"</f>
        <v>RETENTOR ø 180 x ø 210 X 15</v>
      </c>
      <c r="C1253" t="str">
        <f>"45510004"</f>
        <v>45510004</v>
      </c>
      <c r="D1253" s="9"/>
      <c r="E1253" s="13" t="s">
        <v>14</v>
      </c>
    </row>
    <row r="1254" spans="1:5" x14ac:dyDescent="0.25">
      <c r="A1254" s="5">
        <v>1</v>
      </c>
      <c r="B1254" s="6" t="str">
        <f>"RETENTOR ø 130 x ø 170 X 13"</f>
        <v>RETENTOR ø 130 x ø 170 X 13</v>
      </c>
      <c r="C1254" s="6" t="str">
        <f>"45510006"</f>
        <v>45510006</v>
      </c>
      <c r="D1254" s="10"/>
      <c r="E1254" s="13" t="s">
        <v>14</v>
      </c>
    </row>
    <row r="1255" spans="1:5" x14ac:dyDescent="0.25">
      <c r="A1255" s="4">
        <v>2</v>
      </c>
      <c r="B1255" t="str">
        <f>"RODIZIO GIRATORIO GH 312 BPN"</f>
        <v>RODIZIO GIRATORIO GH 312 BPN</v>
      </c>
      <c r="C1255" t="str">
        <f>"45520001"</f>
        <v>45520001</v>
      </c>
      <c r="D1255" s="9"/>
      <c r="E1255" s="13" t="s">
        <v>14</v>
      </c>
    </row>
    <row r="1256" spans="1:5" x14ac:dyDescent="0.25">
      <c r="A1256" s="5">
        <v>2</v>
      </c>
      <c r="B1256" s="6" t="str">
        <f>"RODIZIO FIXO FH 312 BPN"</f>
        <v>RODIZIO FIXO FH 312 BPN</v>
      </c>
      <c r="C1256" s="6" t="str">
        <f>"45520002"</f>
        <v>45520002</v>
      </c>
      <c r="D1256" s="10"/>
      <c r="E1256" s="13" t="s">
        <v>14</v>
      </c>
    </row>
    <row r="1257" spans="1:5" x14ac:dyDescent="0.25">
      <c r="A1257" s="4">
        <v>4</v>
      </c>
      <c r="B1257" t="str">
        <f>"RODIZIO GIRATORIO GH 514 BIL"</f>
        <v>RODIZIO GIRATORIO GH 514 BIL</v>
      </c>
      <c r="C1257" t="str">
        <f>"45520003"</f>
        <v>45520003</v>
      </c>
      <c r="D1257" s="9"/>
      <c r="E1257" s="13" t="s">
        <v>14</v>
      </c>
    </row>
    <row r="1258" spans="1:5" x14ac:dyDescent="0.25">
      <c r="A1258" s="5">
        <v>4</v>
      </c>
      <c r="B1258" s="6" t="str">
        <f>"RODIZIO FIXO FH 514 BIL"</f>
        <v>RODIZIO FIXO FH 514 BIL</v>
      </c>
      <c r="C1258" s="6" t="str">
        <f>"45520004"</f>
        <v>45520004</v>
      </c>
      <c r="D1258" s="10"/>
      <c r="E1258" s="13" t="s">
        <v>14</v>
      </c>
    </row>
    <row r="1259" spans="1:5" x14ac:dyDescent="0.25">
      <c r="A1259" s="4">
        <v>84</v>
      </c>
      <c r="B1259" t="str">
        <f>"ROLAMENTO 6003 ZZ"</f>
        <v>ROLAMENTO 6003 ZZ</v>
      </c>
      <c r="C1259" t="str">
        <f>"45540002"</f>
        <v>45540002</v>
      </c>
      <c r="D1259" s="9"/>
      <c r="E1259" s="13" t="s">
        <v>14</v>
      </c>
    </row>
    <row r="1260" spans="1:5" x14ac:dyDescent="0.25">
      <c r="A1260" s="5">
        <v>8</v>
      </c>
      <c r="B1260" s="6" t="str">
        <f>"ROLAMENTO 6004 ZZ"</f>
        <v>ROLAMENTO 6004 ZZ</v>
      </c>
      <c r="C1260" s="6" t="str">
        <f>"45540003"</f>
        <v>45540003</v>
      </c>
      <c r="D1260" s="10"/>
      <c r="E1260" s="13" t="s">
        <v>14</v>
      </c>
    </row>
    <row r="1261" spans="1:5" x14ac:dyDescent="0.25">
      <c r="A1261" s="4">
        <v>12</v>
      </c>
      <c r="B1261" t="str">
        <f>"ROLAMENTO 6005 ZZ"</f>
        <v>ROLAMENTO 6005 ZZ</v>
      </c>
      <c r="C1261" t="str">
        <f>"45540004"</f>
        <v>45540004</v>
      </c>
      <c r="D1261" s="9"/>
      <c r="E1261" s="13" t="s">
        <v>14</v>
      </c>
    </row>
    <row r="1262" spans="1:5" x14ac:dyDescent="0.25">
      <c r="A1262" s="5">
        <v>4</v>
      </c>
      <c r="B1262" s="6" t="str">
        <f>"ROLAMENTO 6007 ZZ"</f>
        <v>ROLAMENTO 6007 ZZ</v>
      </c>
      <c r="C1262" s="6" t="str">
        <f>"45540006"</f>
        <v>45540006</v>
      </c>
      <c r="D1262" s="10"/>
      <c r="E1262" s="13" t="s">
        <v>14</v>
      </c>
    </row>
    <row r="1263" spans="1:5" x14ac:dyDescent="0.25">
      <c r="A1263" s="4">
        <v>34</v>
      </c>
      <c r="B1263" t="str">
        <f>"ROLAMENTO 6008 ZZ"</f>
        <v>ROLAMENTO 6008 ZZ</v>
      </c>
      <c r="C1263" t="str">
        <f>"45540007"</f>
        <v>45540007</v>
      </c>
      <c r="D1263" s="9"/>
      <c r="E1263" s="13" t="s">
        <v>14</v>
      </c>
    </row>
    <row r="1264" spans="1:5" x14ac:dyDescent="0.25">
      <c r="A1264" s="5">
        <v>8</v>
      </c>
      <c r="B1264" s="6" t="str">
        <f>"ROLAMENTO 6009 ZZ"</f>
        <v>ROLAMENTO 6009 ZZ</v>
      </c>
      <c r="C1264" s="6" t="str">
        <f>"45540008"</f>
        <v>45540008</v>
      </c>
      <c r="D1264" s="10"/>
      <c r="E1264" s="13" t="s">
        <v>14</v>
      </c>
    </row>
    <row r="1265" spans="1:5" x14ac:dyDescent="0.25">
      <c r="A1265" s="4">
        <v>32</v>
      </c>
      <c r="B1265" t="str">
        <f>"ROLAMENTO 6011 ZZ"</f>
        <v>ROLAMENTO 6011 ZZ</v>
      </c>
      <c r="C1265" t="str">
        <f>"45540009"</f>
        <v>45540009</v>
      </c>
      <c r="D1265" s="9"/>
      <c r="E1265" s="13" t="s">
        <v>14</v>
      </c>
    </row>
    <row r="1266" spans="1:5" x14ac:dyDescent="0.25">
      <c r="A1266" s="5">
        <v>16</v>
      </c>
      <c r="B1266" s="6" t="str">
        <f>"ROLAMENTO 6012 ZZ"</f>
        <v>ROLAMENTO 6012 ZZ</v>
      </c>
      <c r="C1266" s="6" t="str">
        <f>"45540010"</f>
        <v>45540010</v>
      </c>
      <c r="D1266" s="10"/>
      <c r="E1266" s="13" t="s">
        <v>14</v>
      </c>
    </row>
    <row r="1267" spans="1:5" x14ac:dyDescent="0.25">
      <c r="A1267" s="4">
        <v>8</v>
      </c>
      <c r="B1267" t="str">
        <f>"ROLAMENTO 32004X"</f>
        <v>ROLAMENTO 32004X</v>
      </c>
      <c r="C1267" t="str">
        <f>"45540034"</f>
        <v>45540034</v>
      </c>
      <c r="D1267" s="9"/>
      <c r="E1267" s="13" t="s">
        <v>14</v>
      </c>
    </row>
    <row r="1268" spans="1:5" x14ac:dyDescent="0.25">
      <c r="A1268" s="5">
        <v>8</v>
      </c>
      <c r="B1268" s="6" t="str">
        <f>"ROLAMENTO 6303 ZZ"</f>
        <v>ROLAMENTO 6303 ZZ</v>
      </c>
      <c r="C1268" s="6" t="str">
        <f>"45540035"</f>
        <v>45540035</v>
      </c>
      <c r="D1268" s="10"/>
      <c r="E1268" s="13" t="s">
        <v>14</v>
      </c>
    </row>
    <row r="1269" spans="1:5" x14ac:dyDescent="0.25">
      <c r="A1269" s="4">
        <v>64</v>
      </c>
      <c r="B1269" t="str">
        <f>"ROLAMENTO CONTATO ANGULAR 7203 BE"</f>
        <v>ROLAMENTO CONTATO ANGULAR 7203 BE</v>
      </c>
      <c r="C1269" t="str">
        <f>"45540038"</f>
        <v>45540038</v>
      </c>
      <c r="D1269" s="9"/>
      <c r="E1269" s="13" t="s">
        <v>14</v>
      </c>
    </row>
    <row r="1270" spans="1:5" x14ac:dyDescent="0.25">
      <c r="A1270" s="5">
        <v>8</v>
      </c>
      <c r="B1270" s="6" t="str">
        <f>"ROLAMENTO RNA 6913"</f>
        <v>ROLAMENTO RNA 6913</v>
      </c>
      <c r="C1270" s="6" t="str">
        <f>"45540040"</f>
        <v>45540040</v>
      </c>
      <c r="D1270" s="10"/>
      <c r="E1270" s="13" t="s">
        <v>14</v>
      </c>
    </row>
    <row r="1271" spans="1:5" x14ac:dyDescent="0.25">
      <c r="A1271" s="4">
        <v>16</v>
      </c>
      <c r="B1271" t="str">
        <f>"ROLAMENTO RNA 6909"</f>
        <v>ROLAMENTO RNA 6909</v>
      </c>
      <c r="C1271" t="str">
        <f>"45540042"</f>
        <v>45540042</v>
      </c>
      <c r="D1271" s="9"/>
      <c r="E1271" s="13" t="s">
        <v>14</v>
      </c>
    </row>
    <row r="1272" spans="1:5" x14ac:dyDescent="0.25">
      <c r="A1272" s="5">
        <v>2</v>
      </c>
      <c r="B1272" s="6" t="str">
        <f>"ROLAMENTO 2203E"</f>
        <v>ROLAMENTO 2203E</v>
      </c>
      <c r="C1272" s="6" t="str">
        <f>"45540044"</f>
        <v>45540044</v>
      </c>
      <c r="D1272" s="10"/>
      <c r="E1272" s="13" t="s">
        <v>14</v>
      </c>
    </row>
    <row r="1273" spans="1:5" x14ac:dyDescent="0.25">
      <c r="A1273" s="4">
        <v>2</v>
      </c>
      <c r="B1273" t="str">
        <f>"ROLAMENTO 2206E - 2RS"</f>
        <v>ROLAMENTO 2206E - 2RS</v>
      </c>
      <c r="C1273" t="str">
        <f>"45540051"</f>
        <v>45540051</v>
      </c>
      <c r="D1273" s="9"/>
      <c r="E1273" s="13" t="s">
        <v>14</v>
      </c>
    </row>
    <row r="1274" spans="1:5" x14ac:dyDescent="0.25">
      <c r="A1274" s="5">
        <v>16</v>
      </c>
      <c r="B1274" s="6" t="str">
        <f>"ROLAMENTO 6204 ZZ"</f>
        <v>ROLAMENTO 6204 ZZ</v>
      </c>
      <c r="C1274" s="6" t="str">
        <f>"45540056"</f>
        <v>45540056</v>
      </c>
      <c r="D1274" s="10"/>
      <c r="E1274" s="13" t="s">
        <v>14</v>
      </c>
    </row>
    <row r="1275" spans="1:5" x14ac:dyDescent="0.25">
      <c r="A1275" s="4">
        <v>2</v>
      </c>
      <c r="B1275" t="str">
        <f>"ROLAMENTO LINEAR KB16 - UU"</f>
        <v>ROLAMENTO LINEAR KB16 - UU</v>
      </c>
      <c r="C1275" t="str">
        <f>"45540065"</f>
        <v>45540065</v>
      </c>
      <c r="D1275" s="9"/>
      <c r="E1275" s="13" t="s">
        <v>14</v>
      </c>
    </row>
    <row r="1276" spans="1:5" x14ac:dyDescent="0.25">
      <c r="A1276" s="5">
        <v>2</v>
      </c>
      <c r="B1276" s="6" t="str">
        <f>"ROLAMENTO SS6209 -2RS INOX"</f>
        <v>ROLAMENTO SS6209 -2RS INOX</v>
      </c>
      <c r="C1276" s="6" t="str">
        <f>"45540066"</f>
        <v>45540066</v>
      </c>
      <c r="D1276" s="10"/>
      <c r="E1276" s="13" t="s">
        <v>14</v>
      </c>
    </row>
    <row r="1277" spans="1:5" x14ac:dyDescent="0.25">
      <c r="A1277" s="4">
        <v>16</v>
      </c>
      <c r="B1277" t="str">
        <f>"ROLAMENTO LINEAR KB-40-UU"</f>
        <v>ROLAMENTO LINEAR KB-40-UU</v>
      </c>
      <c r="C1277" t="str">
        <f>"45540067"</f>
        <v>45540067</v>
      </c>
      <c r="D1277" s="9"/>
      <c r="E1277" s="13" t="s">
        <v>14</v>
      </c>
    </row>
    <row r="1278" spans="1:5" x14ac:dyDescent="0.25">
      <c r="A1278" s="5">
        <v>4</v>
      </c>
      <c r="B1278" s="6" t="str">
        <f>"ROLAMENTO 1205"</f>
        <v>ROLAMENTO 1205</v>
      </c>
      <c r="C1278" s="6" t="str">
        <f>"45540081"</f>
        <v>45540081</v>
      </c>
      <c r="D1278" s="10"/>
      <c r="E1278" s="13" t="s">
        <v>14</v>
      </c>
    </row>
    <row r="1279" spans="1:5" x14ac:dyDescent="0.25">
      <c r="A1279" s="4">
        <v>16</v>
      </c>
      <c r="B1279" t="str">
        <f>"ROLAMENTO 51109"</f>
        <v>ROLAMENTO 51109</v>
      </c>
      <c r="C1279" t="str">
        <f>"45540102"</f>
        <v>45540102</v>
      </c>
      <c r="D1279" s="9"/>
      <c r="E1279" s="13" t="s">
        <v>14</v>
      </c>
    </row>
    <row r="1280" spans="1:5" x14ac:dyDescent="0.25">
      <c r="A1280" s="5">
        <v>8</v>
      </c>
      <c r="B1280" s="6" t="str">
        <f>"ROLAMENTO RNA 4911"</f>
        <v>ROLAMENTO RNA 4911</v>
      </c>
      <c r="C1280" s="6" t="str">
        <f>"45540116"</f>
        <v>45540116</v>
      </c>
      <c r="D1280" s="10"/>
      <c r="E1280" s="13" t="s">
        <v>14</v>
      </c>
    </row>
    <row r="1281" spans="1:5" x14ac:dyDescent="0.25">
      <c r="A1281" s="4">
        <v>8</v>
      </c>
      <c r="B1281" t="str">
        <f>"ROLAMENTO 6201 ZZ"</f>
        <v>ROLAMENTO 6201 ZZ</v>
      </c>
      <c r="C1281" t="str">
        <f>"45540206"</f>
        <v>45540206</v>
      </c>
      <c r="D1281" s="9"/>
      <c r="E1281" s="13" t="s">
        <v>14</v>
      </c>
    </row>
    <row r="1282" spans="1:5" x14ac:dyDescent="0.25">
      <c r="A1282" s="5">
        <v>2</v>
      </c>
      <c r="B1282" s="6" t="str">
        <f>"ROLAMENTO NNU 4932 B/SPW33"</f>
        <v>ROLAMENTO NNU 4932 B/SPW33</v>
      </c>
      <c r="C1282" s="6" t="str">
        <f>"45540400"</f>
        <v>45540400</v>
      </c>
      <c r="D1282" s="10"/>
      <c r="E1282" s="13" t="s">
        <v>14</v>
      </c>
    </row>
    <row r="1283" spans="1:5" x14ac:dyDescent="0.25">
      <c r="A1283" s="4">
        <v>2</v>
      </c>
      <c r="B1283" t="str">
        <f>"ROLAMENTO AXIAL DE ESFERAS 51124"</f>
        <v>ROLAMENTO AXIAL DE ESFERAS 51124</v>
      </c>
      <c r="C1283" t="str">
        <f>"45540450"</f>
        <v>45540450</v>
      </c>
      <c r="D1283" s="9"/>
      <c r="E1283" s="13" t="s">
        <v>14</v>
      </c>
    </row>
    <row r="1284" spans="1:5" x14ac:dyDescent="0.25">
      <c r="A1284" s="5">
        <v>8</v>
      </c>
      <c r="B1284" s="6" t="str">
        <f>"SAPATILHA P/ CABO DE AÇO"</f>
        <v>SAPATILHA P/ CABO DE AÇO</v>
      </c>
      <c r="C1284" s="6" t="str">
        <f>"45650001"</f>
        <v>45650001</v>
      </c>
      <c r="D1284" s="10"/>
      <c r="E1284" s="13" t="s">
        <v>14</v>
      </c>
    </row>
    <row r="1285" spans="1:5" x14ac:dyDescent="0.25">
      <c r="A1285" s="4">
        <v>4</v>
      </c>
      <c r="B1285" t="str">
        <f>"SUPORTE P/ LCD VERT-S - FIXAÇÃO FURO"</f>
        <v>SUPORTE P/ LCD VERT-S - FIXAÇÃO FURO</v>
      </c>
      <c r="C1285" t="str">
        <f>"45861000"</f>
        <v>45861000</v>
      </c>
      <c r="D1285" s="9"/>
      <c r="E1285" s="13" t="s">
        <v>14</v>
      </c>
    </row>
    <row r="1286" spans="1:5" x14ac:dyDescent="0.25">
      <c r="A1286" s="5">
        <v>2</v>
      </c>
      <c r="B1286" s="6" t="str">
        <f>"TAMPAO 1/8''  LATAO  FEMEA"</f>
        <v>TAMPAO 1/8''  LATAO  FEMEA</v>
      </c>
      <c r="C1286" s="6" t="str">
        <f>"45950020"</f>
        <v>45950020</v>
      </c>
      <c r="D1286" s="10"/>
      <c r="E1286" s="13" t="s">
        <v>14</v>
      </c>
    </row>
    <row r="1287" spans="1:5" x14ac:dyDescent="0.25">
      <c r="A1287" s="4">
        <v>9</v>
      </c>
      <c r="B1287" t="str">
        <f>"TAMPA PARA TUBO DE ESGOTO DE 100 MM"</f>
        <v>TAMPA PARA TUBO DE ESGOTO DE 100 MM</v>
      </c>
      <c r="C1287" t="str">
        <f>"45950100"</f>
        <v>45950100</v>
      </c>
      <c r="D1287" s="9"/>
      <c r="E1287" s="13" t="s">
        <v>14</v>
      </c>
    </row>
    <row r="1288" spans="1:5" x14ac:dyDescent="0.25">
      <c r="A1288" s="5">
        <v>10</v>
      </c>
      <c r="B1288" s="6" t="str">
        <f>"TAMPA QUADRADA 30 x 30 PLASTICO"</f>
        <v>TAMPA QUADRADA 30 x 30 PLASTICO</v>
      </c>
      <c r="C1288" s="6" t="str">
        <f>"45950110"</f>
        <v>45950110</v>
      </c>
      <c r="D1288" s="10"/>
      <c r="E1288" s="13" t="s">
        <v>14</v>
      </c>
    </row>
    <row r="1289" spans="1:5" x14ac:dyDescent="0.25">
      <c r="A1289" s="4">
        <v>12</v>
      </c>
      <c r="B1289" t="str">
        <f>"TAMPA QUADRADA 50 x 50 PLASTICO"</f>
        <v>TAMPA QUADRADA 50 x 50 PLASTICO</v>
      </c>
      <c r="C1289" t="str">
        <f>"45950113"</f>
        <v>45950113</v>
      </c>
      <c r="D1289" s="9"/>
      <c r="E1289" s="13" t="s">
        <v>14</v>
      </c>
    </row>
    <row r="1290" spans="1:5" x14ac:dyDescent="0.25">
      <c r="A1290" s="5">
        <v>8</v>
      </c>
      <c r="B1290" s="6" t="str">
        <f>"TAMPA QUADRADA40 x 80 PLASTICO"</f>
        <v>TAMPA QUADRADA40 x 80 PLASTICO</v>
      </c>
      <c r="C1290" s="6" t="str">
        <f>"45950114"</f>
        <v>45950114</v>
      </c>
      <c r="D1290" s="10"/>
      <c r="E1290" s="13" t="s">
        <v>14</v>
      </c>
    </row>
    <row r="1291" spans="1:5" x14ac:dyDescent="0.25">
      <c r="A1291" s="4">
        <v>28</v>
      </c>
      <c r="B1291" t="str">
        <f>"TE 1.1/4""    FEMEA BSP - INOX"</f>
        <v>TE 1.1/4"    FEMEA BSP - INOX</v>
      </c>
      <c r="C1291" t="str">
        <f>"45970015"</f>
        <v>45970015</v>
      </c>
      <c r="D1291" s="9"/>
      <c r="E1291" s="13" t="s">
        <v>14</v>
      </c>
    </row>
    <row r="1292" spans="1:5" x14ac:dyDescent="0.25">
      <c r="A1292" s="5">
        <v>32</v>
      </c>
      <c r="B1292" s="6" t="str">
        <f>"TE 90º  FEMEA 1/2 INOX ACI-2"</f>
        <v>TE 90º  FEMEA 1/2 INOX ACI-2</v>
      </c>
      <c r="C1292" s="6" t="str">
        <f>"45970101"</f>
        <v>45970101</v>
      </c>
      <c r="D1292" s="10"/>
      <c r="E1292" s="13" t="s">
        <v>14</v>
      </c>
    </row>
    <row r="1293" spans="1:5" x14ac:dyDescent="0.25">
      <c r="A1293" s="4">
        <v>13</v>
      </c>
      <c r="B1293" t="str">
        <f>"TE 90° 3/4""  INOX  ACI-2"</f>
        <v>TE 90° 3/4"  INOX  ACI-2</v>
      </c>
      <c r="C1293" t="str">
        <f>"45970103"</f>
        <v>45970103</v>
      </c>
      <c r="D1293" s="9"/>
      <c r="E1293" s="13" t="s">
        <v>14</v>
      </c>
    </row>
    <row r="1294" spans="1:5" x14ac:dyDescent="0.25">
      <c r="A1294" s="5">
        <v>2</v>
      </c>
      <c r="B1294" s="6" t="str">
        <f>"TERMINAL ROTULAR ESFÉRICO"</f>
        <v>TERMINAL ROTULAR ESFÉRICO</v>
      </c>
      <c r="C1294" s="6" t="str">
        <f>"46011009"</f>
        <v>46011009</v>
      </c>
      <c r="D1294" s="10"/>
      <c r="E1294" s="13" t="s">
        <v>14</v>
      </c>
    </row>
    <row r="1295" spans="1:5" x14ac:dyDescent="0.25">
      <c r="A1295" s="4">
        <v>16</v>
      </c>
      <c r="B1295" t="str">
        <f>"TRILHO HGR20 - R122 - C ( E = 47 , E' = 15)"</f>
        <v>TRILHO HGR20 - R122 - C ( E = 47 , E' = 15)</v>
      </c>
      <c r="C1295" t="str">
        <f>"46231010"</f>
        <v>46231010</v>
      </c>
      <c r="D1295" s="9"/>
      <c r="E1295" s="13" t="s">
        <v>14</v>
      </c>
    </row>
    <row r="1296" spans="1:5" x14ac:dyDescent="0.25">
      <c r="A1296" s="5">
        <v>16</v>
      </c>
      <c r="B1296" s="6" t="str">
        <f>"TRILHO HGR20 - R240"</f>
        <v>TRILHO HGR20 - R240</v>
      </c>
      <c r="C1296" s="6" t="str">
        <f>"46231012"</f>
        <v>46231012</v>
      </c>
      <c r="D1296" s="10"/>
      <c r="E1296" s="13" t="s">
        <v>14</v>
      </c>
    </row>
    <row r="1297" spans="1:5" x14ac:dyDescent="0.25">
      <c r="A1297" s="4">
        <v>53.094000000000001</v>
      </c>
      <c r="B1297" t="str">
        <f>"TUBO AÇO RETAG.DE 20 X 30 X 1,5 mm"</f>
        <v>TUBO AÇO RETAG.DE 20 X 30 X 1,5 mm</v>
      </c>
      <c r="C1297" t="str">
        <f>"46310001"</f>
        <v>46310001</v>
      </c>
      <c r="D1297" s="9"/>
      <c r="E1297" s="13" t="s">
        <v>14</v>
      </c>
    </row>
    <row r="1298" spans="1:5" x14ac:dyDescent="0.25">
      <c r="A1298" s="5">
        <v>82.5</v>
      </c>
      <c r="B1298" s="6" t="str">
        <f>"TUBO AÇO RETAG. DE 30 X 50 X 1,5 mm"</f>
        <v>TUBO AÇO RETAG. DE 30 X 50 X 1,5 mm</v>
      </c>
      <c r="C1298" s="6" t="str">
        <f>"46310003"</f>
        <v>46310003</v>
      </c>
      <c r="D1298" s="10"/>
      <c r="E1298" s="13" t="s">
        <v>14</v>
      </c>
    </row>
    <row r="1299" spans="1:5" x14ac:dyDescent="0.25">
      <c r="A1299" s="4">
        <v>6.22</v>
      </c>
      <c r="B1299" t="str">
        <f>"TUBO AÇO RETAG. DE 30 X 90 X 1,5 mm"</f>
        <v>TUBO AÇO RETAG. DE 30 X 90 X 1,5 mm</v>
      </c>
      <c r="C1299" t="str">
        <f>"46310004"</f>
        <v>46310004</v>
      </c>
      <c r="D1299" s="9"/>
      <c r="E1299" s="13" t="s">
        <v>14</v>
      </c>
    </row>
    <row r="1300" spans="1:5" x14ac:dyDescent="0.25">
      <c r="A1300" s="5">
        <v>92.131</v>
      </c>
      <c r="B1300" s="6" t="str">
        <f>"TUBO AÇO QUAD. DE 30 X 30 X 1,5 mm"</f>
        <v>TUBO AÇO QUAD. DE 30 X 30 X 1,5 mm</v>
      </c>
      <c r="C1300" s="6" t="str">
        <f>"46310005"</f>
        <v>46310005</v>
      </c>
      <c r="D1300" s="10"/>
      <c r="E1300" s="13" t="s">
        <v>14</v>
      </c>
    </row>
    <row r="1301" spans="1:5" x14ac:dyDescent="0.25">
      <c r="A1301" s="4">
        <v>26.443999999999999</v>
      </c>
      <c r="B1301" t="str">
        <f>"TUBO AÇO QUAD. DE 30 X 30 X 2,65 mm"</f>
        <v>TUBO AÇO QUAD. DE 30 X 30 X 2,65 mm</v>
      </c>
      <c r="C1301" t="str">
        <f>"46310007"</f>
        <v>46310007</v>
      </c>
      <c r="D1301" s="9"/>
      <c r="E1301" s="13" t="s">
        <v>14</v>
      </c>
    </row>
    <row r="1302" spans="1:5" x14ac:dyDescent="0.25">
      <c r="A1302" s="5">
        <v>59.927999999999997</v>
      </c>
      <c r="B1302" s="6" t="str">
        <f>"TUBO AÇO QUAD. DE 50 X 50 X 2,65 mm"</f>
        <v>TUBO AÇO QUAD. DE 50 X 50 X 2,65 mm</v>
      </c>
      <c r="C1302" s="6" t="str">
        <f>"46310010"</f>
        <v>46310010</v>
      </c>
      <c r="D1302" s="10"/>
      <c r="E1302" s="13" t="s">
        <v>14</v>
      </c>
    </row>
    <row r="1303" spans="1:5" x14ac:dyDescent="0.25">
      <c r="A1303" s="4">
        <v>50.4</v>
      </c>
      <c r="B1303" t="str">
        <f>"TUBO AÇO QUAD. DE 100 X 100 X 4,75 mm"</f>
        <v>TUBO AÇO QUAD. DE 100 X 100 X 4,75 mm</v>
      </c>
      <c r="C1303" t="str">
        <f>"46310012"</f>
        <v>46310012</v>
      </c>
      <c r="D1303" s="9"/>
      <c r="E1303" s="13" t="s">
        <v>14</v>
      </c>
    </row>
    <row r="1304" spans="1:5" x14ac:dyDescent="0.25">
      <c r="A1304" s="5">
        <v>11.6</v>
      </c>
      <c r="B1304" s="6" t="str">
        <f>"TUBO AÇO QUAD. DE 60 X 60 X 2,65 mm"</f>
        <v>TUBO AÇO QUAD. DE 60 X 60 X 2,65 mm</v>
      </c>
      <c r="C1304" s="6" t="str">
        <f>"46310016"</f>
        <v>46310016</v>
      </c>
      <c r="D1304" s="10"/>
      <c r="E1304" s="13" t="s">
        <v>14</v>
      </c>
    </row>
    <row r="1305" spans="1:5" x14ac:dyDescent="0.25">
      <c r="A1305" s="4">
        <v>5.16</v>
      </c>
      <c r="B1305" t="str">
        <f>"TUBO AÇO RETAG. DE 60 X 30 X 1,5 mm"</f>
        <v>TUBO AÇO RETAG. DE 60 X 30 X 1,5 mm</v>
      </c>
      <c r="C1305" t="str">
        <f>"46310024"</f>
        <v>46310024</v>
      </c>
      <c r="D1305" s="9"/>
      <c r="E1305" s="13" t="s">
        <v>14</v>
      </c>
    </row>
    <row r="1306" spans="1:5" x14ac:dyDescent="0.25">
      <c r="A1306" s="5">
        <v>6.0090000000000003</v>
      </c>
      <c r="B1306" s="6" t="str">
        <f>"TUBO AÇO RETAG. DE 30 X 50 X 2,65 mm"</f>
        <v>TUBO AÇO RETAG. DE 30 X 50 X 2,65 mm</v>
      </c>
      <c r="C1306" s="6" t="str">
        <f>"46310025"</f>
        <v>46310025</v>
      </c>
      <c r="D1306" s="10"/>
      <c r="E1306" s="13" t="s">
        <v>14</v>
      </c>
    </row>
    <row r="1307" spans="1:5" x14ac:dyDescent="0.25">
      <c r="A1307" s="4">
        <v>5.5</v>
      </c>
      <c r="B1307" t="str">
        <f>"TUBO AÇO RETAG. DE 30 X 30 X 3.0 mm"</f>
        <v>TUBO AÇO RETAG. DE 30 X 30 X 3.0 mm</v>
      </c>
      <c r="C1307" t="str">
        <f>"46310026"</f>
        <v>46310026</v>
      </c>
      <c r="D1307" s="9"/>
      <c r="E1307" s="13" t="s">
        <v>14</v>
      </c>
    </row>
    <row r="1308" spans="1:5" x14ac:dyDescent="0.25">
      <c r="A1308" s="5">
        <v>39.81</v>
      </c>
      <c r="B1308" s="6" t="str">
        <f>"TUBO AÇO RETAG. DE 80 X 40 X 2,65 mm"</f>
        <v>TUBO AÇO RETAG. DE 80 X 40 X 2,65 mm</v>
      </c>
      <c r="C1308" s="6" t="str">
        <f>"46310027"</f>
        <v>46310027</v>
      </c>
      <c r="D1308" s="10"/>
      <c r="E1308" s="13" t="s">
        <v>14</v>
      </c>
    </row>
    <row r="1309" spans="1:5" x14ac:dyDescent="0.25">
      <c r="A1309" s="4">
        <v>3.645</v>
      </c>
      <c r="B1309" t="str">
        <f>"TUBO AÇO RED. DE  4"" X 2 mm"</f>
        <v>TUBO AÇO RED. DE  4" X 2 mm</v>
      </c>
      <c r="C1309" t="str">
        <f>"46310030"</f>
        <v>46310030</v>
      </c>
      <c r="D1309" s="9"/>
      <c r="E1309" s="13" t="s">
        <v>14</v>
      </c>
    </row>
    <row r="1310" spans="1:5" x14ac:dyDescent="0.25">
      <c r="A1310" s="5">
        <v>1</v>
      </c>
      <c r="B1310" s="6" t="str">
        <f>"TUBO ACO RED. TREF.S/COSTURA 118,0 X 101,6 mm"</f>
        <v>TUBO ACO RED. TREF.S/COSTURA 118,0 X 101,6 mm</v>
      </c>
      <c r="C1310" s="6" t="str">
        <f>"46310032"</f>
        <v>46310032</v>
      </c>
      <c r="D1310" s="10"/>
      <c r="E1310" s="13" t="s">
        <v>14</v>
      </c>
    </row>
    <row r="1311" spans="1:5" x14ac:dyDescent="0.25">
      <c r="A1311" s="4">
        <v>1</v>
      </c>
      <c r="B1311" t="str">
        <f>"TUBO ACO RED.TREF.S/COSTURA 76,20 x 63,50 mm - C = 1100 mm"</f>
        <v>TUBO ACO RED.TREF.S/COSTURA 76,20 x 63,50 mm - C = 1100 mm</v>
      </c>
      <c r="C1311" t="str">
        <f>"46310033c1100"</f>
        <v>46310033c1100</v>
      </c>
      <c r="D1311" s="9"/>
      <c r="E1311" s="13" t="s">
        <v>14</v>
      </c>
    </row>
    <row r="1312" spans="1:5" x14ac:dyDescent="0.25">
      <c r="A1312" s="5">
        <v>16.8</v>
      </c>
      <c r="B1312" s="6" t="str">
        <f>"TUBO AÇO RETAG. DE 100 X 60 X 2,65 mm"</f>
        <v>TUBO AÇO RETAG. DE 100 X 60 X 2,65 mm</v>
      </c>
      <c r="C1312" s="6" t="str">
        <f>"46310037"</f>
        <v>46310037</v>
      </c>
      <c r="D1312" s="10"/>
      <c r="E1312" s="13" t="s">
        <v>14</v>
      </c>
    </row>
    <row r="1313" spans="1:5" x14ac:dyDescent="0.25">
      <c r="A1313" s="4">
        <v>0.12</v>
      </c>
      <c r="B1313" t="str">
        <f>"TUBO MEC. - ST 52  DE DIAM.71 X 63 mm"</f>
        <v>TUBO MEC. - ST 52  DE DIAM.71 X 63 mm</v>
      </c>
      <c r="C1313" t="str">
        <f>"46310044"</f>
        <v>46310044</v>
      </c>
      <c r="D1313" s="9"/>
      <c r="E1313" s="13" t="s">
        <v>14</v>
      </c>
    </row>
    <row r="1314" spans="1:5" x14ac:dyDescent="0.25">
      <c r="A1314" s="5">
        <v>0.28000000000000003</v>
      </c>
      <c r="B1314" s="6" t="str">
        <f>"TUBO MEC. - ST 52 de DIAM. 95 X 68  X 530"</f>
        <v>TUBO MEC. - ST 52 de DIAM. 95 X 68  X 530</v>
      </c>
      <c r="C1314" s="6" t="str">
        <f>"46310045"</f>
        <v>46310045</v>
      </c>
      <c r="D1314" s="10"/>
      <c r="E1314" s="13" t="s">
        <v>14</v>
      </c>
    </row>
    <row r="1315" spans="1:5" x14ac:dyDescent="0.25">
      <c r="A1315" s="4">
        <v>0.254</v>
      </c>
      <c r="B1315" t="str">
        <f>"TUBO MEC - Diam 100 x Diam 72 - C = 263 mm"</f>
        <v>TUBO MEC - Diam 100 x Diam 72 - C = 263 mm</v>
      </c>
      <c r="C1315" t="str">
        <f>"46310046"</f>
        <v>46310046</v>
      </c>
      <c r="D1315" s="9"/>
      <c r="E1315" s="13" t="s">
        <v>14</v>
      </c>
    </row>
    <row r="1316" spans="1:5" x14ac:dyDescent="0.25">
      <c r="A1316" s="5">
        <v>7</v>
      </c>
      <c r="B1316" s="6" t="str">
        <f>"TUBO MEC - Diam 100 x Diam 72 - C = 1620 mm"</f>
        <v>TUBO MEC - Diam 100 x Diam 72 - C = 1620 mm</v>
      </c>
      <c r="C1316" s="6" t="str">
        <f>"46310046C1620"</f>
        <v>46310046C1620</v>
      </c>
      <c r="D1316" s="10"/>
      <c r="E1316" s="13" t="s">
        <v>14</v>
      </c>
    </row>
    <row r="1317" spans="1:5" x14ac:dyDescent="0.25">
      <c r="A1317" s="4">
        <v>3</v>
      </c>
      <c r="B1317" t="str">
        <f>"TUBO MEC - Diam 100 x Diam 72 - C = 1820 mm"</f>
        <v>TUBO MEC - Diam 100 x Diam 72 - C = 1820 mm</v>
      </c>
      <c r="C1317" t="str">
        <f>"46310046C1820"</f>
        <v>46310046C1820</v>
      </c>
      <c r="D1317" s="9"/>
      <c r="E1317" s="13" t="s">
        <v>14</v>
      </c>
    </row>
    <row r="1318" spans="1:5" x14ac:dyDescent="0.25">
      <c r="A1318" s="5">
        <v>5</v>
      </c>
      <c r="B1318" s="6" t="str">
        <f>"TUBO S/C SCHEDULE 160 - Diam 6"" X 1370 mm"</f>
        <v>TUBO S/C SCHEDULE 160 - Diam 6" X 1370 mm</v>
      </c>
      <c r="C1318" s="6" t="str">
        <f>"46310057C1370"</f>
        <v>46310057C1370</v>
      </c>
      <c r="D1318" s="10"/>
      <c r="E1318" s="13" t="s">
        <v>14</v>
      </c>
    </row>
    <row r="1319" spans="1:5" x14ac:dyDescent="0.25">
      <c r="A1319" s="4">
        <v>6</v>
      </c>
      <c r="B1319" t="str">
        <f>"TUBO S/C SCHEDULE 160 - Diam 3"" X 1270 mm"</f>
        <v>TUBO S/C SCHEDULE 160 - Diam 3" X 1270 mm</v>
      </c>
      <c r="C1319" t="str">
        <f>"46310060C1270"</f>
        <v>46310060C1270</v>
      </c>
      <c r="D1319" s="9"/>
      <c r="E1319" s="13" t="s">
        <v>14</v>
      </c>
    </row>
    <row r="1320" spans="1:5" x14ac:dyDescent="0.25">
      <c r="A1320" s="5">
        <v>0.52500000000000002</v>
      </c>
      <c r="B1320" s="6" t="str">
        <f>"TUBO AÇO RED. DE  3"" X 3 mm"</f>
        <v>TUBO AÇO RED. DE  3" X 3 mm</v>
      </c>
      <c r="C1320" s="6" t="str">
        <f>"46310062"</f>
        <v>46310062</v>
      </c>
      <c r="D1320" s="10"/>
      <c r="E1320" s="13" t="s">
        <v>14</v>
      </c>
    </row>
    <row r="1321" spans="1:5" x14ac:dyDescent="0.25">
      <c r="A1321" s="4">
        <v>1.085</v>
      </c>
      <c r="B1321" t="str">
        <f>"TUBO S/C SCHEDULE 80 diam. 1.1/4"""</f>
        <v>TUBO S/C SCHEDULE 80 diam. 1.1/4"</v>
      </c>
      <c r="C1321" t="str">
        <f>"46310063"</f>
        <v>46310063</v>
      </c>
      <c r="D1321" s="9"/>
      <c r="E1321" s="13" t="s">
        <v>14</v>
      </c>
    </row>
    <row r="1322" spans="1:5" x14ac:dyDescent="0.25">
      <c r="A1322" s="5">
        <v>17.308</v>
      </c>
      <c r="B1322" s="6" t="str">
        <f>"TUBO IND. RED. 1"" PAREDE 2,65"</f>
        <v>TUBO IND. RED. 1" PAREDE 2,65</v>
      </c>
      <c r="C1322" s="6" t="str">
        <f>"46310085"</f>
        <v>46310085</v>
      </c>
      <c r="D1322" s="10"/>
      <c r="E1322" s="13" t="s">
        <v>14</v>
      </c>
    </row>
    <row r="1323" spans="1:5" x14ac:dyDescent="0.25">
      <c r="A1323" s="4">
        <v>53.57</v>
      </c>
      <c r="B1323" t="str">
        <f>"TUBO ALUMINIO REDONDO 100 X 8 MM"</f>
        <v>TUBO ALUMINIO REDONDO 100 X 8 MM</v>
      </c>
      <c r="C1323" t="str">
        <f>"46310100"</f>
        <v>46310100</v>
      </c>
      <c r="D1323" s="9"/>
      <c r="E1323" s="13" t="s">
        <v>14</v>
      </c>
    </row>
    <row r="1324" spans="1:5" x14ac:dyDescent="0.25">
      <c r="A1324" s="5">
        <v>1.105</v>
      </c>
      <c r="B1324" s="6" t="str">
        <f>"TUBO DE ALUMINIO REDONDO 3 "" X 3/16 "" de espessura"</f>
        <v>TUBO DE ALUMINIO REDONDO 3 " X 3/16 " de espessura</v>
      </c>
      <c r="C1324" s="6" t="str">
        <f>"46310102"</f>
        <v>46310102</v>
      </c>
      <c r="D1324" s="10"/>
      <c r="E1324" s="13" t="s">
        <v>14</v>
      </c>
    </row>
    <row r="1325" spans="1:5" x14ac:dyDescent="0.25">
      <c r="A1325" s="4">
        <v>1.105</v>
      </c>
      <c r="B1325" t="str">
        <f>"TUBO ALUMINIO REDONDO  2 "" X 1/8 "" de espessura."</f>
        <v>TUBO ALUMINIO REDONDO  2 " X 1/8 " de espessura.</v>
      </c>
      <c r="C1325" t="str">
        <f>"46310104"</f>
        <v>46310104</v>
      </c>
      <c r="D1325" s="9"/>
      <c r="E1325" s="13" t="s">
        <v>14</v>
      </c>
    </row>
    <row r="1326" spans="1:5" x14ac:dyDescent="0.25">
      <c r="A1326" s="5">
        <v>2.2559999999999998</v>
      </c>
      <c r="B1326" s="6" t="str">
        <f>"TUBO ALUMINIO REDONDO  1 "" X 1,0 mm de espessura."</f>
        <v>TUBO ALUMINIO REDONDO  1 " X 1,0 mm de espessura.</v>
      </c>
      <c r="C1326" s="6" t="str">
        <f>"46310107"</f>
        <v>46310107</v>
      </c>
      <c r="D1326" s="10"/>
      <c r="E1326" s="13" t="s">
        <v>14</v>
      </c>
    </row>
    <row r="1327" spans="1:5" x14ac:dyDescent="0.25">
      <c r="A1327" s="4">
        <v>2.21</v>
      </c>
      <c r="B1327" t="str">
        <f>"TUBO ALUMINIO SCHEDULE 80  DIAM. 4""  (114,3 x 97,18)"</f>
        <v>TUBO ALUMINIO SCHEDULE 80  DIAM. 4"  (114,3 x 97,18)</v>
      </c>
      <c r="C1327" t="str">
        <f>"46310125"</f>
        <v>46310125</v>
      </c>
      <c r="D1327" s="9"/>
      <c r="E1327" s="13" t="s">
        <v>14</v>
      </c>
    </row>
    <row r="1328" spans="1:5" x14ac:dyDescent="0.25">
      <c r="A1328" s="5">
        <v>0.06</v>
      </c>
      <c r="B1328" s="6" t="str">
        <f>"TUBO COBRE REDONDO 1/4"""</f>
        <v>TUBO COBRE REDONDO 1/4"</v>
      </c>
      <c r="C1328" s="6" t="str">
        <f>"46310430"</f>
        <v>46310430</v>
      </c>
      <c r="D1328" s="10"/>
      <c r="E1328" s="13" t="s">
        <v>14</v>
      </c>
    </row>
    <row r="1329" spans="1:5" x14ac:dyDescent="0.25">
      <c r="A1329" s="4">
        <v>0.59</v>
      </c>
      <c r="B1329" t="str">
        <f>"TUBO HIDRAULICO DE ACO TREFILADO S/C DIAM 06 PAREDE 1mm"</f>
        <v>TUBO HIDRAULICO DE ACO TREFILADO S/C DIAM 06 PAREDE 1mm</v>
      </c>
      <c r="C1329" t="str">
        <f>"46310450"</f>
        <v>46310450</v>
      </c>
      <c r="D1329" s="9"/>
      <c r="E1329" s="13" t="s">
        <v>14</v>
      </c>
    </row>
    <row r="1330" spans="1:5" x14ac:dyDescent="0.25">
      <c r="A1330" s="5">
        <v>1</v>
      </c>
      <c r="B1330" s="6" t="str">
        <f>"TUBO DE BORRACHA  MONTFLEX MIB -182 PR 2.1/2""X 35 X 1350"</f>
        <v>TUBO DE BORRACHA  MONTFLEX MIB -182 PR 2.1/2"X 35 X 1350</v>
      </c>
      <c r="C1330" s="6" t="str">
        <f>"46310602"</f>
        <v>46310602</v>
      </c>
      <c r="D1330" s="10"/>
      <c r="E1330" s="13" t="s">
        <v>14</v>
      </c>
    </row>
    <row r="1331" spans="1:5" x14ac:dyDescent="0.25">
      <c r="A1331" s="4">
        <v>5.0999999999999996</v>
      </c>
      <c r="B1331" t="str">
        <f>"TUBO DE INOX 304 C/C SCH 10-S 1/2"""</f>
        <v>TUBO DE INOX 304 C/C SCH 10-S 1/2"</v>
      </c>
      <c r="C1331" t="str">
        <f>"46311000"</f>
        <v>46311000</v>
      </c>
      <c r="D1331" s="9"/>
      <c r="E1331" s="13" t="s">
        <v>14</v>
      </c>
    </row>
    <row r="1332" spans="1:5" x14ac:dyDescent="0.25">
      <c r="A1332" s="5">
        <v>4.0855555556000001</v>
      </c>
      <c r="B1332" s="6" t="str">
        <f>"TUBO DE INOX 304 C/C SCH-40 3/4"" ESP. PAREDE 2,87mm"</f>
        <v>TUBO DE INOX 304 C/C SCH-40 3/4" ESP. PAREDE 2,87mm</v>
      </c>
      <c r="C1332" s="6" t="str">
        <f>"46311001"</f>
        <v>46311001</v>
      </c>
      <c r="D1332" s="10"/>
      <c r="E1332" s="13" t="s">
        <v>14</v>
      </c>
    </row>
    <row r="1333" spans="1:5" x14ac:dyDescent="0.25">
      <c r="A1333" s="4">
        <v>1.2</v>
      </c>
      <c r="B1333" t="str">
        <f>"TUBO DE INOX 304 C/C SCH 10-S 2"""</f>
        <v>TUBO DE INOX 304 C/C SCH 10-S 2"</v>
      </c>
      <c r="C1333" t="str">
        <f>"46311006"</f>
        <v>46311006</v>
      </c>
      <c r="D1333" s="9"/>
      <c r="E1333" s="13" t="s">
        <v>14</v>
      </c>
    </row>
    <row r="1334" spans="1:5" x14ac:dyDescent="0.25">
      <c r="A1334" s="5">
        <v>22</v>
      </c>
      <c r="B1334" s="6" t="str">
        <f>"TUBO FLEX (PETPCP A) D = 110 mm"</f>
        <v>TUBO FLEX (PETPCP A) D = 110 mm</v>
      </c>
      <c r="C1334" s="6" t="str">
        <f>"46311500"</f>
        <v>46311500</v>
      </c>
      <c r="D1334" s="10"/>
      <c r="E1334" s="13" t="s">
        <v>14</v>
      </c>
    </row>
    <row r="1335" spans="1:5" x14ac:dyDescent="0.25">
      <c r="A1335" s="4">
        <v>9</v>
      </c>
      <c r="B1335" t="str">
        <f>"TUBO FLEX (PETPCP A) D = 80 mm"</f>
        <v>TUBO FLEX (PETPCP A) D = 80 mm</v>
      </c>
      <c r="C1335" t="str">
        <f>"46311501"</f>
        <v>46311501</v>
      </c>
      <c r="D1335" s="9"/>
      <c r="E1335" s="13" t="s">
        <v>14</v>
      </c>
    </row>
    <row r="1336" spans="1:5" x14ac:dyDescent="0.25">
      <c r="A1336" s="5">
        <v>16</v>
      </c>
      <c r="B1336" s="6" t="str">
        <f>"UNIAO ACENTO INTEGRADO ACI-6 1/2"" INOX 304"</f>
        <v>UNIAO ACENTO INTEGRADO ACI-6 1/2" INOX 304</v>
      </c>
      <c r="C1336" s="6" t="str">
        <f>"46351505"</f>
        <v>46351505</v>
      </c>
      <c r="D1336" s="10"/>
      <c r="E1336" s="13" t="s">
        <v>14</v>
      </c>
    </row>
    <row r="1337" spans="1:5" x14ac:dyDescent="0.25">
      <c r="A1337" s="4">
        <v>2</v>
      </c>
      <c r="B1337" t="str">
        <f>"VALVULA DE AGULHA 1/2"" BSP"</f>
        <v>VALVULA DE AGULHA 1/2" BSP</v>
      </c>
      <c r="C1337" t="str">
        <f>"46390005"</f>
        <v>46390005</v>
      </c>
      <c r="D1337" s="9"/>
      <c r="E1337" s="13" t="s">
        <v>14</v>
      </c>
    </row>
    <row r="1338" spans="1:5" x14ac:dyDescent="0.25">
      <c r="A1338" s="5">
        <v>14</v>
      </c>
      <c r="B1338" s="6" t="str">
        <f>"VALVULA ESFERA GAS LATAO  MF 1/2"""</f>
        <v>VALVULA ESFERA GAS LATAO  MF 1/2"</v>
      </c>
      <c r="C1338" s="6" t="str">
        <f>"46390015"</f>
        <v>46390015</v>
      </c>
      <c r="D1338" s="10"/>
      <c r="E1338" s="13" t="s">
        <v>14</v>
      </c>
    </row>
    <row r="1339" spans="1:5" x14ac:dyDescent="0.25">
      <c r="A1339" s="4">
        <v>8</v>
      </c>
      <c r="B1339" t="str">
        <f>"VALVULA ESFERA  MF 3/4""  BORBOLETA"</f>
        <v>VALVULA ESFERA  MF 3/4"  BORBOLETA</v>
      </c>
      <c r="C1339" t="str">
        <f>"46390018"</f>
        <v>46390018</v>
      </c>
      <c r="D1339" s="9"/>
      <c r="E1339" s="13" t="s">
        <v>14</v>
      </c>
    </row>
    <row r="1340" spans="1:5" x14ac:dyDescent="0.25">
      <c r="A1340" s="5">
        <v>10</v>
      </c>
      <c r="B1340" s="6" t="str">
        <f>"VALVULA ESFERA  MF1/2""  BORBOLETA"</f>
        <v>VALVULA ESFERA  MF1/2"  BORBOLETA</v>
      </c>
      <c r="C1340" s="6" t="str">
        <f>"46390021"</f>
        <v>46390021</v>
      </c>
      <c r="D1340" s="10"/>
      <c r="E1340" s="13" t="s">
        <v>14</v>
      </c>
    </row>
    <row r="1341" spans="1:5" x14ac:dyDescent="0.25">
      <c r="A1341" s="4">
        <v>40</v>
      </c>
      <c r="B1341" t="str">
        <f>"VALVULA ESFERA 3 VIAS 1/2"" ACI-3VL-1/2"" - LATÃO"</f>
        <v>VALVULA ESFERA 3 VIAS 1/2" ACI-3VL-1/2" - LATÃO</v>
      </c>
      <c r="C1341" t="str">
        <f>"46390022"</f>
        <v>46390022</v>
      </c>
      <c r="D1341" s="9"/>
      <c r="E1341" s="13" t="s">
        <v>14</v>
      </c>
    </row>
    <row r="1342" spans="1:5" x14ac:dyDescent="0.25">
      <c r="A1342" s="5">
        <v>1</v>
      </c>
      <c r="B1342" s="6" t="str">
        <f>"VIBRA STOP STANDART DE 1/2 POL."</f>
        <v>VIBRA STOP STANDART DE 1/2 POL.</v>
      </c>
      <c r="C1342" s="6" t="str">
        <f>"46440001"</f>
        <v>46440001</v>
      </c>
      <c r="D1342" s="10"/>
      <c r="E1342" s="13" t="s">
        <v>14</v>
      </c>
    </row>
    <row r="1343" spans="1:5" x14ac:dyDescent="0.25">
      <c r="A1343" s="4">
        <v>6</v>
      </c>
      <c r="B1343" t="str">
        <f>"VIBRA STOP MICRO II  DE 3/8 POL."</f>
        <v>VIBRA STOP MICRO II  DE 3/8 POL.</v>
      </c>
      <c r="C1343" t="str">
        <f>"46440010"</f>
        <v>46440010</v>
      </c>
      <c r="D1343" s="9"/>
      <c r="E1343" s="13" t="s">
        <v>14</v>
      </c>
    </row>
    <row r="1344" spans="1:5" x14ac:dyDescent="0.25">
      <c r="A1344" s="5">
        <v>2.4860000000000002</v>
      </c>
      <c r="B1344" s="6" t="str">
        <f>"VIGA U 6""X 1.5/8"" X 1 ""ALMA"</f>
        <v>VIGA U 6"X 1.5/8" X 1 "ALMA</v>
      </c>
      <c r="C1344" s="6" t="str">
        <f>"46490002"</f>
        <v>46490002</v>
      </c>
      <c r="D1344" s="10"/>
      <c r="E1344" s="13" t="s">
        <v>14</v>
      </c>
    </row>
    <row r="1345" spans="1:5" x14ac:dyDescent="0.25">
      <c r="A1345" s="4">
        <v>7.5259999999999998</v>
      </c>
      <c r="B1345" t="str">
        <f>"VIGA U 4"" X 1.5/8"" X 1 ""ALMA"</f>
        <v>VIGA U 4" X 1.5/8" X 1 "ALMA</v>
      </c>
      <c r="C1345" t="str">
        <f>"46490004"</f>
        <v>46490004</v>
      </c>
      <c r="D1345" s="9"/>
      <c r="E1345" s="13" t="s">
        <v>14</v>
      </c>
    </row>
    <row r="1346" spans="1:5" x14ac:dyDescent="0.25">
      <c r="A1346" s="5">
        <v>27.251999999999999</v>
      </c>
      <c r="B1346" s="6" t="str">
        <f>"VIGA U 10"""</f>
        <v>VIGA U 10"</v>
      </c>
      <c r="C1346" s="6" t="str">
        <f>"46490010"</f>
        <v>46490010</v>
      </c>
      <c r="D1346" s="10"/>
      <c r="E1346" s="13" t="s">
        <v>14</v>
      </c>
    </row>
    <row r="1347" spans="1:5" ht="15.75" x14ac:dyDescent="0.25">
      <c r="A1347" s="4">
        <v>7000</v>
      </c>
      <c r="B1347" t="str">
        <f>"ABRAÇADEIRA DE NYLON 100 X 2,5 MM"</f>
        <v>ABRAÇADEIRA DE NYLON 100 X 2,5 MM</v>
      </c>
      <c r="C1347" t="str">
        <f>"51050001"</f>
        <v>51050001</v>
      </c>
      <c r="D1347" s="9"/>
      <c r="E1347" s="14" t="s">
        <v>15</v>
      </c>
    </row>
    <row r="1348" spans="1:5" ht="15.75" x14ac:dyDescent="0.25">
      <c r="A1348" s="5">
        <v>1500</v>
      </c>
      <c r="B1348" s="6" t="str">
        <f>"ABRAÇADEIRA DE NYLON 300 X 4,8 MM"</f>
        <v>ABRAÇADEIRA DE NYLON 300 X 4,8 MM</v>
      </c>
      <c r="C1348" s="6" t="str">
        <f>"51050007"</f>
        <v>51050007</v>
      </c>
      <c r="D1348" s="10"/>
      <c r="E1348" s="14" t="s">
        <v>15</v>
      </c>
    </row>
    <row r="1349" spans="1:5" ht="15.75" x14ac:dyDescent="0.25">
      <c r="A1349" s="4">
        <v>3000</v>
      </c>
      <c r="B1349" t="str">
        <f>"ABRAÇADEIRA DE NYLON 190X 4,8 MM"</f>
        <v>ABRAÇADEIRA DE NYLON 190X 4,8 MM</v>
      </c>
      <c r="C1349" t="str">
        <f>"51050009"</f>
        <v>51050009</v>
      </c>
      <c r="D1349" s="9"/>
      <c r="E1349" s="14" t="s">
        <v>15</v>
      </c>
    </row>
    <row r="1350" spans="1:5" ht="15.75" x14ac:dyDescent="0.25">
      <c r="A1350" s="5">
        <v>36</v>
      </c>
      <c r="B1350" s="6" t="str">
        <f>"ABRAÇADEIRA DE FERRO P/ LAMPADA TUBULAR"</f>
        <v>ABRAÇADEIRA DE FERRO P/ LAMPADA TUBULAR</v>
      </c>
      <c r="C1350" s="6" t="str">
        <f>"51050010"</f>
        <v>51050010</v>
      </c>
      <c r="D1350" s="10"/>
      <c r="E1350" s="14" t="s">
        <v>15</v>
      </c>
    </row>
    <row r="1351" spans="1:5" ht="15.75" x14ac:dyDescent="0.25">
      <c r="A1351" s="4">
        <v>2000</v>
      </c>
      <c r="B1351" t="str">
        <f>"ABRAÇADEIRA DE NYLON 200 X 2,5 MM"</f>
        <v>ABRAÇADEIRA DE NYLON 200 X 2,5 MM</v>
      </c>
      <c r="C1351" t="str">
        <f>"51050011"</f>
        <v>51050011</v>
      </c>
      <c r="D1351" s="9"/>
      <c r="E1351" s="14" t="s">
        <v>15</v>
      </c>
    </row>
    <row r="1352" spans="1:5" ht="15.75" x14ac:dyDescent="0.25">
      <c r="A1352" s="5">
        <v>6</v>
      </c>
      <c r="B1352" s="6" t="str">
        <f>"ACESSORIOS P/ ENCODER MODELO Z 119.023 (BAUMER)"</f>
        <v>ACESSORIOS P/ ENCODER MODELO Z 119.023 (BAUMER)</v>
      </c>
      <c r="C1352" s="6" t="str">
        <f>"51060030"</f>
        <v>51060030</v>
      </c>
      <c r="D1352" s="10"/>
      <c r="E1352" s="14" t="s">
        <v>15</v>
      </c>
    </row>
    <row r="1353" spans="1:5" ht="15.75" x14ac:dyDescent="0.25">
      <c r="A1353" s="4">
        <v>1</v>
      </c>
      <c r="B1353" t="str">
        <f>"ADAPTADOR PARA BARRAMENTO TRIFASICO UNIVERSAL 630 A"</f>
        <v>ADAPTADOR PARA BARRAMENTO TRIFASICO UNIVERSAL 630 A</v>
      </c>
      <c r="C1353" t="str">
        <f>"51110003"</f>
        <v>51110003</v>
      </c>
      <c r="D1353" s="9"/>
      <c r="E1353" s="14" t="s">
        <v>15</v>
      </c>
    </row>
    <row r="1354" spans="1:5" ht="15.75" x14ac:dyDescent="0.25">
      <c r="A1354" s="5">
        <v>8</v>
      </c>
      <c r="B1354" s="6" t="str">
        <f>"ADAPTADOR PARA BARRAMENTO TRIFASICO DE 63A LARGURA 72 MM"</f>
        <v>ADAPTADOR PARA BARRAMENTO TRIFASICO DE 63A LARGURA 72 MM</v>
      </c>
      <c r="C1354" s="6" t="str">
        <f>"51110005"</f>
        <v>51110005</v>
      </c>
      <c r="D1354" s="10"/>
      <c r="E1354" s="14" t="s">
        <v>15</v>
      </c>
    </row>
    <row r="1355" spans="1:5" ht="15.75" x14ac:dyDescent="0.25">
      <c r="A1355" s="4">
        <v>8</v>
      </c>
      <c r="B1355" t="str">
        <f>"TRILHO PARA ADAPTADOR T-637 TRIFASICO DE 63A"</f>
        <v>TRILHO PARA ADAPTADOR T-637 TRIFASICO DE 63A</v>
      </c>
      <c r="C1355" t="str">
        <f>"51110007"</f>
        <v>51110007</v>
      </c>
      <c r="D1355" s="9"/>
      <c r="E1355" s="14" t="s">
        <v>15</v>
      </c>
    </row>
    <row r="1356" spans="1:5" ht="15.75" x14ac:dyDescent="0.25">
      <c r="A1356" s="5">
        <v>54</v>
      </c>
      <c r="B1356" s="6" t="str">
        <f>"ADAPTADOR DE FIXAÇÃO PARA CONTATOS DE BOTOES SIMPLES"</f>
        <v>ADAPTADOR DE FIXAÇÃO PARA CONTATOS DE BOTOES SIMPLES</v>
      </c>
      <c r="C1356" s="6" t="str">
        <f>"51110100"</f>
        <v>51110100</v>
      </c>
      <c r="D1356" s="10"/>
      <c r="E1356" s="14" t="s">
        <v>15</v>
      </c>
    </row>
    <row r="1357" spans="1:5" ht="15.75" x14ac:dyDescent="0.25">
      <c r="A1357" s="4">
        <v>1</v>
      </c>
      <c r="B1357" t="str">
        <f>"ADAPTADOR DE FIXAÇÃO PARA CONTATOS DE BOTOES QUADRUPLOS"</f>
        <v>ADAPTADOR DE FIXAÇÃO PARA CONTATOS DE BOTOES QUADRUPLOS</v>
      </c>
      <c r="C1357" t="str">
        <f>"51110101"</f>
        <v>51110101</v>
      </c>
      <c r="D1357" s="9"/>
      <c r="E1357" s="14" t="s">
        <v>15</v>
      </c>
    </row>
    <row r="1358" spans="1:5" ht="15.75" x14ac:dyDescent="0.25">
      <c r="A1358" s="5">
        <v>1</v>
      </c>
      <c r="B1358" s="6" t="str">
        <f>"ADAPTADOR DE PORTA USB3.0 PARA LAN RJ45"</f>
        <v>ADAPTADOR DE PORTA USB3.0 PARA LAN RJ45</v>
      </c>
      <c r="C1358" s="6" t="str">
        <f>"51110112"</f>
        <v>51110112</v>
      </c>
      <c r="D1358" s="10"/>
      <c r="E1358" s="14" t="s">
        <v>15</v>
      </c>
    </row>
    <row r="1359" spans="1:5" ht="15.75" x14ac:dyDescent="0.25">
      <c r="A1359" s="4">
        <v>3</v>
      </c>
      <c r="B1359" t="str">
        <f>"ADAPTADOR DISPLAY/PROFIBUS INVERSOR BOSCH"</f>
        <v>ADAPTADOR DISPLAY/PROFIBUS INVERSOR BOSCH</v>
      </c>
      <c r="C1359" t="str">
        <f>"51110300"</f>
        <v>51110300</v>
      </c>
      <c r="D1359" s="9"/>
      <c r="E1359" s="14" t="s">
        <v>15</v>
      </c>
    </row>
    <row r="1360" spans="1:5" ht="15.75" x14ac:dyDescent="0.25">
      <c r="A1360" s="5">
        <v>1</v>
      </c>
      <c r="B1360" s="6" t="str">
        <f>"AMPLIFICADOR P/ CELULA DE CARGA"</f>
        <v>AMPLIFICADOR P/ CELULA DE CARGA</v>
      </c>
      <c r="C1360" s="6" t="str">
        <f>"51200200"</f>
        <v>51200200</v>
      </c>
      <c r="D1360" s="10"/>
      <c r="E1360" s="14" t="s">
        <v>15</v>
      </c>
    </row>
    <row r="1361" spans="1:5" ht="15.75" x14ac:dyDescent="0.25">
      <c r="A1361" s="4">
        <v>4</v>
      </c>
      <c r="B1361" t="str">
        <f>"ANTENA EXTERNA P/ CONTROLE REMOTO SEM FIO"</f>
        <v>ANTENA EXTERNA P/ CONTROLE REMOTO SEM FIO</v>
      </c>
      <c r="C1361" t="str">
        <f>"51240100"</f>
        <v>51240100</v>
      </c>
      <c r="D1361" s="9"/>
      <c r="E1361" s="14" t="s">
        <v>15</v>
      </c>
    </row>
    <row r="1362" spans="1:5" ht="15.75" x14ac:dyDescent="0.25">
      <c r="A1362" s="5">
        <v>1</v>
      </c>
      <c r="B1362" s="6" t="str">
        <f>"AR 30K/h BTU EVAP FUJITSU HW 27K 220V -  Frio  INV"</f>
        <v>AR 30K/h BTU EVAP FUJITSU HW 27K 220V -  Frio  INV</v>
      </c>
      <c r="C1362" s="6" t="str">
        <f>"51270023"</f>
        <v>51270023</v>
      </c>
      <c r="D1362" s="10"/>
      <c r="E1362" s="14" t="s">
        <v>15</v>
      </c>
    </row>
    <row r="1363" spans="1:5" ht="15.75" x14ac:dyDescent="0.25">
      <c r="A1363" s="4">
        <v>1</v>
      </c>
      <c r="B1363" t="str">
        <f>"AR  30K BTU/h   COND  FUJITSU HW 27K 220/1 Frio INV"</f>
        <v>AR  30K BTU/h   COND  FUJITSU HW 27K 220/1 Frio INV</v>
      </c>
      <c r="C1363" t="str">
        <f>"51270024"</f>
        <v>51270024</v>
      </c>
      <c r="D1363" s="9"/>
      <c r="E1363" s="14" t="s">
        <v>15</v>
      </c>
    </row>
    <row r="1364" spans="1:5" ht="15.75" x14ac:dyDescent="0.25">
      <c r="A1364" s="5">
        <v>2</v>
      </c>
      <c r="B1364" s="6" t="str">
        <f>"ARRUELA ALUMINIO ARA-10 1/2"""</f>
        <v>ARRUELA ALUMINIO ARA-10 1/2"</v>
      </c>
      <c r="C1364" s="6" t="str">
        <f>"51330075"</f>
        <v>51330075</v>
      </c>
      <c r="D1364" s="10"/>
      <c r="E1364" s="14" t="s">
        <v>15</v>
      </c>
    </row>
    <row r="1365" spans="1:5" ht="15.75" x14ac:dyDescent="0.25">
      <c r="A1365" s="4">
        <v>16</v>
      </c>
      <c r="B1365" t="str">
        <f>"BORNE RELE 24 VDC -1 REV"</f>
        <v>BORNE RELE 24 VDC -1 REV</v>
      </c>
      <c r="C1365" t="str">
        <f>"51370035"</f>
        <v>51370035</v>
      </c>
      <c r="D1365" s="9"/>
      <c r="E1365" s="14" t="s">
        <v>15</v>
      </c>
    </row>
    <row r="1366" spans="1:5" ht="15.75" x14ac:dyDescent="0.25">
      <c r="A1366" s="5">
        <v>1</v>
      </c>
      <c r="B1366" s="6" t="str">
        <f>"BORNE RELE 24 V AC/DC -1 REV. 6A"</f>
        <v>BORNE RELE 24 V AC/DC -1 REV. 6A</v>
      </c>
      <c r="C1366" s="6" t="str">
        <f>"51370040"</f>
        <v>51370040</v>
      </c>
      <c r="D1366" s="10"/>
      <c r="E1366" s="14" t="s">
        <v>15</v>
      </c>
    </row>
    <row r="1367" spans="1:5" ht="15.75" x14ac:dyDescent="0.25">
      <c r="A1367" s="4">
        <v>1</v>
      </c>
      <c r="B1367" t="str">
        <f>"BORNE DISTRIBUIÇÃO 3 POLOS ATE 25 MM P/ DISJ. TRIPOL."</f>
        <v>BORNE DISTRIBUIÇÃO 3 POLOS ATE 25 MM P/ DISJ. TRIPOL.</v>
      </c>
      <c r="C1367" t="str">
        <f>"51370060"</f>
        <v>51370060</v>
      </c>
      <c r="D1367" s="9"/>
      <c r="E1367" s="14" t="s">
        <v>15</v>
      </c>
    </row>
    <row r="1368" spans="1:5" ht="15.75" x14ac:dyDescent="0.25">
      <c r="A1368" s="5">
        <v>8</v>
      </c>
      <c r="B1368" s="6" t="str">
        <f>"CONECTOR DE EMENDA"</f>
        <v>CONECTOR DE EMENDA</v>
      </c>
      <c r="C1368" s="6" t="str">
        <f>"51370085"</f>
        <v>51370085</v>
      </c>
      <c r="D1368" s="10"/>
      <c r="E1368" s="14" t="s">
        <v>15</v>
      </c>
    </row>
    <row r="1369" spans="1:5" ht="15.75" x14ac:dyDescent="0.25">
      <c r="A1369" s="4">
        <v>18</v>
      </c>
      <c r="B1369" t="str">
        <f>"BORNE MINI SIMPLES -2,5 MM"</f>
        <v>BORNE MINI SIMPLES -2,5 MM</v>
      </c>
      <c r="C1369" t="str">
        <f>"51370100"</f>
        <v>51370100</v>
      </c>
      <c r="D1369" s="9"/>
      <c r="E1369" s="14" t="s">
        <v>15</v>
      </c>
    </row>
    <row r="1370" spans="1:5" ht="15.75" x14ac:dyDescent="0.25">
      <c r="A1370" s="5">
        <v>6</v>
      </c>
      <c r="B1370" s="6" t="str">
        <f>"BORNE MINI DUPLO -2,5 MM"</f>
        <v>BORNE MINI DUPLO -2,5 MM</v>
      </c>
      <c r="C1370" s="6" t="str">
        <f>"51370105"</f>
        <v>51370105</v>
      </c>
      <c r="D1370" s="10"/>
      <c r="E1370" s="14" t="s">
        <v>15</v>
      </c>
    </row>
    <row r="1371" spans="1:5" ht="15.75" x14ac:dyDescent="0.25">
      <c r="A1371" s="4">
        <v>1</v>
      </c>
      <c r="B1371" t="str">
        <f>"BORNE FUSIVEL -  CONECTOR"</f>
        <v>BORNE FUSIVEL -  CONECTOR</v>
      </c>
      <c r="C1371" t="str">
        <f>"51370121"</f>
        <v>51370121</v>
      </c>
      <c r="D1371" s="9"/>
      <c r="E1371" s="14" t="s">
        <v>15</v>
      </c>
    </row>
    <row r="1372" spans="1:5" ht="15.75" x14ac:dyDescent="0.25">
      <c r="A1372" s="5">
        <v>4.3004166664000003</v>
      </c>
      <c r="B1372" s="6" t="str">
        <f>"BARRA DE COBRE ESTANHADO  25 X 10"</f>
        <v>BARRA DE COBRE ESTANHADO  25 X 10</v>
      </c>
      <c r="C1372" s="6" t="str">
        <f>"51440001"</f>
        <v>51440001</v>
      </c>
      <c r="D1372" s="10"/>
      <c r="E1372" s="14" t="s">
        <v>15</v>
      </c>
    </row>
    <row r="1373" spans="1:5" ht="15.75" x14ac:dyDescent="0.25">
      <c r="A1373" s="4">
        <v>1</v>
      </c>
      <c r="B1373" t="str">
        <f>"BARRA DE COBRE ESTANHADO FLEXIVEL 5 X 24 X 1 mm"</f>
        <v>BARRA DE COBRE ESTANHADO FLEXIVEL 5 X 24 X 1 mm</v>
      </c>
      <c r="C1373" t="str">
        <f>"51440002"</f>
        <v>51440002</v>
      </c>
      <c r="D1373" s="9"/>
      <c r="E1373" s="14" t="s">
        <v>15</v>
      </c>
    </row>
    <row r="1374" spans="1:5" ht="15.75" x14ac:dyDescent="0.25">
      <c r="A1374" s="5">
        <v>1</v>
      </c>
      <c r="B1374" s="6" t="str">
        <f>"BARRA  DE COBRE ALIMENTAÇAO DRIVE MT BOSCH 2000 N/m"</f>
        <v>BARRA  DE COBRE ALIMENTAÇAO DRIVE MT BOSCH 2000 N/m</v>
      </c>
      <c r="C1374" s="6" t="str">
        <f>"51440050"</f>
        <v>51440050</v>
      </c>
      <c r="D1374" s="10"/>
      <c r="E1374" s="14" t="s">
        <v>15</v>
      </c>
    </row>
    <row r="1375" spans="1:5" ht="15.75" x14ac:dyDescent="0.25">
      <c r="A1375" s="4">
        <v>8</v>
      </c>
      <c r="B1375" t="str">
        <f>"BARRA  DE COBRE ALIMENTAÇAO DRIVE MT BOSCH 48 N/m"</f>
        <v>BARRA  DE COBRE ALIMENTAÇAO DRIVE MT BOSCH 48 N/m</v>
      </c>
      <c r="C1375" t="str">
        <f>"51440057"</f>
        <v>51440057</v>
      </c>
      <c r="D1375" s="9"/>
      <c r="E1375" s="14" t="s">
        <v>15</v>
      </c>
    </row>
    <row r="1376" spans="1:5" ht="15.75" x14ac:dyDescent="0.25">
      <c r="A1376" s="5">
        <v>1</v>
      </c>
      <c r="B1376" s="6" t="str">
        <f>"BASE DE TOMADA  6  PINOS P/ MONTAGEM EM PAINEL  (1 TRAVA)"</f>
        <v>BASE DE TOMADA  6  PINOS P/ MONTAGEM EM PAINEL  (1 TRAVA)</v>
      </c>
      <c r="C1376" s="6" t="str">
        <f>"51480000"</f>
        <v>51480000</v>
      </c>
      <c r="D1376" s="10"/>
      <c r="E1376" s="14" t="s">
        <v>15</v>
      </c>
    </row>
    <row r="1377" spans="1:5" ht="15.75" x14ac:dyDescent="0.25">
      <c r="A1377" s="4">
        <v>4</v>
      </c>
      <c r="B1377" t="str">
        <f>"BASE DE TOMADA 16 PINOS P/ MONTAGEM EM PAINEL 2 TRAVAS"</f>
        <v>BASE DE TOMADA 16 PINOS P/ MONTAGEM EM PAINEL 2 TRAVAS</v>
      </c>
      <c r="C1377" t="str">
        <f>"51480003"</f>
        <v>51480003</v>
      </c>
      <c r="D1377" s="9"/>
      <c r="E1377" s="14" t="s">
        <v>15</v>
      </c>
    </row>
    <row r="1378" spans="1:5" ht="15.75" x14ac:dyDescent="0.25">
      <c r="A1378" s="5">
        <v>2</v>
      </c>
      <c r="B1378" s="6" t="str">
        <f>"BASE DE TOMADA 24 PINOS P/ MONTAGEM EM PAINEL 2 TRAVAS"</f>
        <v>BASE DE TOMADA 24 PINOS P/ MONTAGEM EM PAINEL 2 TRAVAS</v>
      </c>
      <c r="C1378" s="6" t="str">
        <f>"51480004"</f>
        <v>51480004</v>
      </c>
      <c r="D1378" s="10"/>
      <c r="E1378" s="14" t="s">
        <v>15</v>
      </c>
    </row>
    <row r="1379" spans="1:5" ht="15.75" x14ac:dyDescent="0.25">
      <c r="A1379" s="4">
        <v>1</v>
      </c>
      <c r="B1379" t="str">
        <f>"BASE DE TOMADA 5 PINOS P/ MONT. SOBREPOR 2 ENTS C/ 1 TRAVA"</f>
        <v>BASE DE TOMADA 5 PINOS P/ MONT. SOBREPOR 2 ENTS C/ 1 TRAVA</v>
      </c>
      <c r="C1379" t="str">
        <f>"51480006"</f>
        <v>51480006</v>
      </c>
      <c r="D1379" s="9"/>
      <c r="E1379" s="14" t="s">
        <v>15</v>
      </c>
    </row>
    <row r="1380" spans="1:5" ht="15.75" x14ac:dyDescent="0.25">
      <c r="A1380" s="5">
        <v>17</v>
      </c>
      <c r="B1380" s="6" t="str">
        <f>"BASE P/ FUSIVEL CARTUCHO  10X38   - Bipolar"</f>
        <v>BASE P/ FUSIVEL CARTUCHO  10X38   - Bipolar</v>
      </c>
      <c r="C1380" s="6" t="str">
        <f>"51480012"</f>
        <v>51480012</v>
      </c>
      <c r="D1380" s="10"/>
      <c r="E1380" s="14" t="s">
        <v>15</v>
      </c>
    </row>
    <row r="1381" spans="1:5" ht="15.75" x14ac:dyDescent="0.25">
      <c r="A1381" s="4">
        <v>3</v>
      </c>
      <c r="B1381" t="str">
        <f>"BASE P/ FUSIVEL CARTUCHO  10X38   - Tripolar"</f>
        <v>BASE P/ FUSIVEL CARTUCHO  10X38   - Tripolar</v>
      </c>
      <c r="C1381" t="str">
        <f>"51480013"</f>
        <v>51480013</v>
      </c>
      <c r="D1381" s="9"/>
      <c r="E1381" s="14" t="s">
        <v>15</v>
      </c>
    </row>
    <row r="1382" spans="1:5" ht="15.75" x14ac:dyDescent="0.25">
      <c r="A1382" s="5">
        <v>1</v>
      </c>
      <c r="B1382" s="6" t="str">
        <f>"BASE P/ FUSIVEL CARTUCHO  14X51  - Tripolar"</f>
        <v>BASE P/ FUSIVEL CARTUCHO  14X51  - Tripolar</v>
      </c>
      <c r="C1382" s="6" t="str">
        <f>"51480020"</f>
        <v>51480020</v>
      </c>
      <c r="D1382" s="10"/>
      <c r="E1382" s="14" t="s">
        <v>15</v>
      </c>
    </row>
    <row r="1383" spans="1:5" ht="15.75" x14ac:dyDescent="0.25">
      <c r="A1383" s="4">
        <v>4</v>
      </c>
      <c r="B1383" t="str">
        <f>"BASE P/ XN - BR (PF) -24 VDC - D C/ TERM"</f>
        <v>BASE P/ XN - BR (PF) -24 VDC - D C/ TERM</v>
      </c>
      <c r="C1383" t="str">
        <f>"51480021"</f>
        <v>51480021</v>
      </c>
      <c r="D1383" s="9"/>
      <c r="E1383" s="14" t="s">
        <v>15</v>
      </c>
    </row>
    <row r="1384" spans="1:5" ht="15.75" x14ac:dyDescent="0.25">
      <c r="A1384" s="5">
        <v>6</v>
      </c>
      <c r="B1384" s="6" t="str">
        <f>"BASE PARA MODULO I/O - CONEXÃO DE MOLA DE TENSÃO"</f>
        <v>BASE PARA MODULO I/O - CONEXÃO DE MOLA DE TENSÃO</v>
      </c>
      <c r="C1384" s="6" t="str">
        <f>"51480022"</f>
        <v>51480022</v>
      </c>
      <c r="D1384" s="10"/>
      <c r="E1384" s="14" t="s">
        <v>15</v>
      </c>
    </row>
    <row r="1385" spans="1:5" ht="15.75" x14ac:dyDescent="0.25">
      <c r="A1385" s="4">
        <v>3</v>
      </c>
      <c r="B1385" t="str">
        <f>"BASE PARA PROTETOR DE SURTO"</f>
        <v>BASE PARA PROTETOR DE SURTO</v>
      </c>
      <c r="C1385" t="str">
        <f>"51480031"</f>
        <v>51480031</v>
      </c>
      <c r="D1385" s="9"/>
      <c r="E1385" s="14" t="s">
        <v>15</v>
      </c>
    </row>
    <row r="1386" spans="1:5" ht="15.75" x14ac:dyDescent="0.25">
      <c r="A1386" s="5">
        <v>10</v>
      </c>
      <c r="B1386" s="6" t="str">
        <f>"BASE P/ FUSIVEL NH 00 UNIPOLAR C/ CAPA POTETORA"</f>
        <v>BASE P/ FUSIVEL NH 00 UNIPOLAR C/ CAPA POTETORA</v>
      </c>
      <c r="C1386" s="6" t="str">
        <f>"51480100"</f>
        <v>51480100</v>
      </c>
      <c r="D1386" s="10"/>
      <c r="E1386" s="14" t="s">
        <v>15</v>
      </c>
    </row>
    <row r="1387" spans="1:5" ht="15.75" x14ac:dyDescent="0.25">
      <c r="A1387" s="4">
        <v>3</v>
      </c>
      <c r="B1387" t="str">
        <f>"BASE ACIONAMENTO BOTAO COGUMELO PRETO"</f>
        <v>BASE ACIONAMENTO BOTAO COGUMELO PRETO</v>
      </c>
      <c r="C1387" t="str">
        <f>"51480151"</f>
        <v>51480151</v>
      </c>
      <c r="D1387" s="9"/>
      <c r="E1387" s="14" t="s">
        <v>15</v>
      </c>
    </row>
    <row r="1388" spans="1:5" ht="15.75" x14ac:dyDescent="0.25">
      <c r="A1388" s="5">
        <v>8</v>
      </c>
      <c r="B1388" s="6" t="str">
        <f>"BOBINA DE DESLIGAMENTO DE DISJUNTORES 24VDC"</f>
        <v>BOBINA DE DESLIGAMENTO DE DISJUNTORES 24VDC</v>
      </c>
      <c r="C1388" s="6" t="str">
        <f>"51580002"</f>
        <v>51580002</v>
      </c>
      <c r="D1388" s="10"/>
      <c r="E1388" s="14" t="s">
        <v>15</v>
      </c>
    </row>
    <row r="1389" spans="1:5" ht="15.75" x14ac:dyDescent="0.25">
      <c r="A1389" s="4">
        <v>1</v>
      </c>
      <c r="B1389" t="str">
        <f>"BOBINA DE MINIMA P/NZM 2 E 3"</f>
        <v>BOBINA DE MINIMA P/NZM 2 E 3</v>
      </c>
      <c r="C1389" t="str">
        <f>"51580100"</f>
        <v>51580100</v>
      </c>
      <c r="D1389" s="9"/>
      <c r="E1389" s="14" t="s">
        <v>15</v>
      </c>
    </row>
    <row r="1390" spans="1:5" ht="15.75" x14ac:dyDescent="0.25">
      <c r="A1390" s="5">
        <v>17</v>
      </c>
      <c r="B1390" s="6" t="str">
        <f>"BOTÃO DE EMERGÊNCIA 40 MM - PUXAR P/ DESTRAVAR"</f>
        <v>BOTÃO DE EMERGÊNCIA 40 MM - PUXAR P/ DESTRAVAR</v>
      </c>
      <c r="C1390" s="6" t="str">
        <f>"51620001"</f>
        <v>51620001</v>
      </c>
      <c r="D1390" s="10"/>
      <c r="E1390" s="14" t="s">
        <v>15</v>
      </c>
    </row>
    <row r="1391" spans="1:5" ht="15.75" x14ac:dyDescent="0.25">
      <c r="A1391" s="4">
        <v>3</v>
      </c>
      <c r="B1391" t="str">
        <f>"BOTÃO DE IMPULSÃO VERDE COM LÂMPADA"</f>
        <v>BOTÃO DE IMPULSÃO VERDE COM LÂMPADA</v>
      </c>
      <c r="C1391" t="str">
        <f>"51620006"</f>
        <v>51620006</v>
      </c>
      <c r="D1391" s="9"/>
      <c r="E1391" s="14" t="s">
        <v>15</v>
      </c>
    </row>
    <row r="1392" spans="1:5" ht="15.75" x14ac:dyDescent="0.25">
      <c r="A1392" s="5">
        <v>3</v>
      </c>
      <c r="B1392" s="6" t="str">
        <f>"BOTÃO SELETOR 2 POSIÇÕES FIXAS"</f>
        <v>BOTÃO SELETOR 2 POSIÇÕES FIXAS</v>
      </c>
      <c r="C1392" s="6" t="str">
        <f>"51620008"</f>
        <v>51620008</v>
      </c>
      <c r="D1392" s="10"/>
      <c r="E1392" s="14" t="s">
        <v>15</v>
      </c>
    </row>
    <row r="1393" spans="1:5" ht="15.75" x14ac:dyDescent="0.25">
      <c r="A1393" s="4">
        <v>10</v>
      </c>
      <c r="B1393" t="str">
        <f>"BOTÃO SELETOR 3 POSIÇÕES RETORNO AO CENTRO S/ LAMPADA"</f>
        <v>BOTÃO SELETOR 3 POSIÇÕES RETORNO AO CENTRO S/ LAMPADA</v>
      </c>
      <c r="C1393" t="str">
        <f>"51620010"</f>
        <v>51620010</v>
      </c>
      <c r="D1393" s="9"/>
      <c r="E1393" s="14" t="s">
        <v>15</v>
      </c>
    </row>
    <row r="1394" spans="1:5" ht="15.75" x14ac:dyDescent="0.25">
      <c r="A1394" s="5">
        <v>8</v>
      </c>
      <c r="B1394" s="6" t="str">
        <f>"BOTÃO SELETOR 3 POS. PULSANTE C/ RETORNO CENTRO C/LP VERDE"</f>
        <v>BOTÃO SELETOR 3 POS. PULSANTE C/ RETORNO CENTRO C/LP VERDE</v>
      </c>
      <c r="C1394" s="6" t="str">
        <f>"51620011"</f>
        <v>51620011</v>
      </c>
      <c r="D1394" s="10"/>
      <c r="E1394" s="14" t="s">
        <v>15</v>
      </c>
    </row>
    <row r="1395" spans="1:5" ht="15.75" x14ac:dyDescent="0.25">
      <c r="A1395" s="4">
        <v>1</v>
      </c>
      <c r="B1395" t="str">
        <f>"BOTÃO QUADRUPLO C/ SETAS - ROSETA"</f>
        <v>BOTÃO QUADRUPLO C/ SETAS - ROSETA</v>
      </c>
      <c r="C1395" t="str">
        <f>"51620013"</f>
        <v>51620013</v>
      </c>
      <c r="D1395" s="9"/>
      <c r="E1395" s="14" t="s">
        <v>15</v>
      </c>
    </row>
    <row r="1396" spans="1:5" ht="15.75" x14ac:dyDescent="0.25">
      <c r="A1396" s="5">
        <v>5</v>
      </c>
      <c r="B1396" s="6" t="str">
        <f>"BOTÃO DE IMPULSÃO AZUL COM LÂMPADA LED"</f>
        <v>BOTÃO DE IMPULSÃO AZUL COM LÂMPADA LED</v>
      </c>
      <c r="C1396" s="6" t="str">
        <f>"51620021"</f>
        <v>51620021</v>
      </c>
      <c r="D1396" s="10"/>
      <c r="E1396" s="14" t="s">
        <v>15</v>
      </c>
    </row>
    <row r="1397" spans="1:5" ht="15.75" x14ac:dyDescent="0.25">
      <c r="A1397" s="4">
        <v>3</v>
      </c>
      <c r="B1397" t="str">
        <f>"BOTÃO DE IMPULSÃO BRANCO COM LÂMPADA LED"</f>
        <v>BOTÃO DE IMPULSÃO BRANCO COM LÂMPADA LED</v>
      </c>
      <c r="C1397" t="str">
        <f>"51620022"</f>
        <v>51620022</v>
      </c>
      <c r="D1397" s="9"/>
      <c r="E1397" s="14" t="s">
        <v>15</v>
      </c>
    </row>
    <row r="1398" spans="1:5" ht="15.75" x14ac:dyDescent="0.25">
      <c r="A1398" s="5">
        <v>2</v>
      </c>
      <c r="B1398" s="6" t="str">
        <f>"BOTÃO DE IMPULSÃO PRETO"</f>
        <v>BOTÃO DE IMPULSÃO PRETO</v>
      </c>
      <c r="C1398" s="6" t="str">
        <f>"51620026"</f>
        <v>51620026</v>
      </c>
      <c r="D1398" s="10"/>
      <c r="E1398" s="14" t="s">
        <v>15</v>
      </c>
    </row>
    <row r="1399" spans="1:5" ht="15.75" x14ac:dyDescent="0.25">
      <c r="A1399" s="4">
        <v>8</v>
      </c>
      <c r="B1399" t="str">
        <f>"BOTÃO PULSADOR FACEADO MONTADO 1NA BRANCO"</f>
        <v>BOTÃO PULSADOR FACEADO MONTADO 1NA BRANCO</v>
      </c>
      <c r="C1399" t="str">
        <f>"51621002"</f>
        <v>51621002</v>
      </c>
      <c r="D1399" s="9"/>
      <c r="E1399" s="14" t="s">
        <v>15</v>
      </c>
    </row>
    <row r="1400" spans="1:5" ht="15.75" x14ac:dyDescent="0.25">
      <c r="A1400" s="5">
        <v>8</v>
      </c>
      <c r="B1400" s="6" t="str">
        <f>"BOTÃO PULSADOR FACEADO MONTADO 1NA VERDE"</f>
        <v>BOTÃO PULSADOR FACEADO MONTADO 1NA VERDE</v>
      </c>
      <c r="C1400" s="6" t="str">
        <f>"51621004"</f>
        <v>51621004</v>
      </c>
      <c r="D1400" s="10"/>
      <c r="E1400" s="14" t="s">
        <v>15</v>
      </c>
    </row>
    <row r="1401" spans="1:5" ht="15.75" x14ac:dyDescent="0.25">
      <c r="A1401" s="4">
        <v>8</v>
      </c>
      <c r="B1401" t="str">
        <f>"BOTÃO PULSADOR FACEADO MONTADO 1NA PRETO"</f>
        <v>BOTÃO PULSADOR FACEADO MONTADO 1NA PRETO</v>
      </c>
      <c r="C1401" t="str">
        <f>"51621007"</f>
        <v>51621007</v>
      </c>
      <c r="D1401" s="9"/>
      <c r="E1401" s="14" t="s">
        <v>15</v>
      </c>
    </row>
    <row r="1402" spans="1:5" ht="15.75" x14ac:dyDescent="0.25">
      <c r="A1402" s="5">
        <v>3</v>
      </c>
      <c r="B1402" s="6" t="str">
        <f>"BOTÃO PULSADOR ILUMINADO 24V FACEADO MONTADO 1NA VERDE"</f>
        <v>BOTÃO PULSADOR ILUMINADO 24V FACEADO MONTADO 1NA VERDE</v>
      </c>
      <c r="C1402" s="6" t="str">
        <f>"51621012"</f>
        <v>51621012</v>
      </c>
      <c r="D1402" s="10"/>
      <c r="E1402" s="14" t="s">
        <v>15</v>
      </c>
    </row>
    <row r="1403" spans="1:5" ht="15.75" x14ac:dyDescent="0.25">
      <c r="A1403" s="4">
        <v>5</v>
      </c>
      <c r="B1403" t="str">
        <f>"BOTÃO COMUTADOR SIMPLES PRETO/BRANCO 3 POSIÇÕES  MONTADO 2NA"</f>
        <v>BOTÃO COMUTADOR SIMPLES PRETO/BRANCO 3 POSIÇÕES  MONTADO 2NA</v>
      </c>
      <c r="C1403" t="str">
        <f>"51621036"</f>
        <v>51621036</v>
      </c>
      <c r="D1403" s="9"/>
      <c r="E1403" s="14" t="s">
        <v>15</v>
      </c>
    </row>
    <row r="1404" spans="1:5" ht="15.75" x14ac:dyDescent="0.25">
      <c r="A1404" s="5">
        <v>200</v>
      </c>
      <c r="B1404" s="6" t="str">
        <f>"CABO 1 X 0,50 MM VERMELHO"</f>
        <v>CABO 1 X 0,50 MM VERMELHO</v>
      </c>
      <c r="C1404" s="6" t="str">
        <f>"51760009"</f>
        <v>51760009</v>
      </c>
      <c r="D1404" s="10"/>
      <c r="E1404" s="14" t="s">
        <v>15</v>
      </c>
    </row>
    <row r="1405" spans="1:5" ht="15.75" x14ac:dyDescent="0.25">
      <c r="A1405" s="4">
        <v>200</v>
      </c>
      <c r="B1405" t="str">
        <f>"CABO 1 X 0,50 MM PRETO"</f>
        <v>CABO 1 X 0,50 MM PRETO</v>
      </c>
      <c r="C1405" t="str">
        <f>"51760010"</f>
        <v>51760010</v>
      </c>
      <c r="D1405" s="9"/>
      <c r="E1405" s="14" t="s">
        <v>15</v>
      </c>
    </row>
    <row r="1406" spans="1:5" ht="15.75" x14ac:dyDescent="0.25">
      <c r="A1406" s="5">
        <v>200</v>
      </c>
      <c r="B1406" s="6" t="str">
        <f>"CABO 1 X 0,50 MM CINZA"</f>
        <v>CABO 1 X 0,50 MM CINZA</v>
      </c>
      <c r="C1406" s="6" t="str">
        <f>"51760011"</f>
        <v>51760011</v>
      </c>
      <c r="D1406" s="10"/>
      <c r="E1406" s="14" t="s">
        <v>15</v>
      </c>
    </row>
    <row r="1407" spans="1:5" ht="15.75" x14ac:dyDescent="0.25">
      <c r="A1407" s="4">
        <v>200</v>
      </c>
      <c r="B1407" t="str">
        <f>"CABO 1 X 0,50 MM MARROM"</f>
        <v>CABO 1 X 0,50 MM MARROM</v>
      </c>
      <c r="C1407" t="str">
        <f>"51760012"</f>
        <v>51760012</v>
      </c>
      <c r="D1407" s="9"/>
      <c r="E1407" s="14" t="s">
        <v>15</v>
      </c>
    </row>
    <row r="1408" spans="1:5" ht="15.75" x14ac:dyDescent="0.25">
      <c r="A1408" s="5">
        <v>200</v>
      </c>
      <c r="B1408" s="6" t="str">
        <f>"CABO 1 X 0,50 MM AZUL CLARO"</f>
        <v>CABO 1 X 0,50 MM AZUL CLARO</v>
      </c>
      <c r="C1408" s="6" t="str">
        <f>"51760013"</f>
        <v>51760013</v>
      </c>
      <c r="D1408" s="10"/>
      <c r="E1408" s="14" t="s">
        <v>15</v>
      </c>
    </row>
    <row r="1409" spans="1:5" ht="15.75" x14ac:dyDescent="0.25">
      <c r="A1409" s="4">
        <v>200</v>
      </c>
      <c r="B1409" t="str">
        <f>"CABO 1 X 0,50 MM AZUL ESCURO"</f>
        <v>CABO 1 X 0,50 MM AZUL ESCURO</v>
      </c>
      <c r="C1409" t="str">
        <f>"51760014"</f>
        <v>51760014</v>
      </c>
      <c r="D1409" s="9"/>
      <c r="E1409" s="14" t="s">
        <v>15</v>
      </c>
    </row>
    <row r="1410" spans="1:5" ht="15.75" x14ac:dyDescent="0.25">
      <c r="A1410" s="5">
        <v>200</v>
      </c>
      <c r="B1410" s="6" t="str">
        <f>"CABO 1 X 0,50 MM AMARELO"</f>
        <v>CABO 1 X 0,50 MM AMARELO</v>
      </c>
      <c r="C1410" s="6" t="str">
        <f>"51760015"</f>
        <v>51760015</v>
      </c>
      <c r="D1410" s="10"/>
      <c r="E1410" s="14" t="s">
        <v>15</v>
      </c>
    </row>
    <row r="1411" spans="1:5" ht="15.75" x14ac:dyDescent="0.25">
      <c r="A1411" s="4">
        <v>200</v>
      </c>
      <c r="B1411" t="str">
        <f>"CABO 1 X 0,50 MM VERDE"</f>
        <v>CABO 1 X 0,50 MM VERDE</v>
      </c>
      <c r="C1411" t="str">
        <f>"51760016"</f>
        <v>51760016</v>
      </c>
      <c r="D1411" s="9"/>
      <c r="E1411" s="14" t="s">
        <v>15</v>
      </c>
    </row>
    <row r="1412" spans="1:5" ht="15.75" x14ac:dyDescent="0.25">
      <c r="A1412" s="5">
        <v>200</v>
      </c>
      <c r="B1412" s="6" t="str">
        <f>"CABO 1 X 0,50 MM BRANCO"</f>
        <v>CABO 1 X 0,50 MM BRANCO</v>
      </c>
      <c r="C1412" s="6" t="str">
        <f>"51760017"</f>
        <v>51760017</v>
      </c>
      <c r="D1412" s="10"/>
      <c r="E1412" s="14" t="s">
        <v>15</v>
      </c>
    </row>
    <row r="1413" spans="1:5" ht="15.75" x14ac:dyDescent="0.25">
      <c r="A1413" s="4">
        <v>400</v>
      </c>
      <c r="B1413" t="str">
        <f>"CABO 1 X 1,0 MM AZUL CLARO"</f>
        <v>CABO 1 X 1,0 MM AZUL CLARO</v>
      </c>
      <c r="C1413" t="str">
        <f>"51760031"</f>
        <v>51760031</v>
      </c>
      <c r="D1413" s="9"/>
      <c r="E1413" s="14" t="s">
        <v>15</v>
      </c>
    </row>
    <row r="1414" spans="1:5" ht="15.75" x14ac:dyDescent="0.25">
      <c r="A1414" s="5">
        <v>200</v>
      </c>
      <c r="B1414" s="6" t="str">
        <f>"CABO 1 X 1,0 MM CINZA"</f>
        <v>CABO 1 X 1,0 MM CINZA</v>
      </c>
      <c r="C1414" s="6" t="str">
        <f>"51760032"</f>
        <v>51760032</v>
      </c>
      <c r="D1414" s="10"/>
      <c r="E1414" s="14" t="s">
        <v>15</v>
      </c>
    </row>
    <row r="1415" spans="1:5" ht="15.75" x14ac:dyDescent="0.25">
      <c r="A1415" s="4">
        <v>600</v>
      </c>
      <c r="B1415" t="str">
        <f>"CABO 1 X 1,0 MM MARROM"</f>
        <v>CABO 1 X 1,0 MM MARROM</v>
      </c>
      <c r="C1415" t="str">
        <f>"51760033"</f>
        <v>51760033</v>
      </c>
      <c r="D1415" s="9"/>
      <c r="E1415" s="14" t="s">
        <v>15</v>
      </c>
    </row>
    <row r="1416" spans="1:5" ht="15.75" x14ac:dyDescent="0.25">
      <c r="A1416" s="5">
        <v>2300</v>
      </c>
      <c r="B1416" s="6" t="str">
        <f>"CABO 1 X 1,0 MM PRETO"</f>
        <v>CABO 1 X 1,0 MM PRETO</v>
      </c>
      <c r="C1416" s="6" t="str">
        <f>"51760034"</f>
        <v>51760034</v>
      </c>
      <c r="D1416" s="10"/>
      <c r="E1416" s="14" t="s">
        <v>15</v>
      </c>
    </row>
    <row r="1417" spans="1:5" ht="15.75" x14ac:dyDescent="0.25">
      <c r="A1417" s="4">
        <v>500</v>
      </c>
      <c r="B1417" t="str">
        <f>"CABO 1 X 1,0 MM VERDE/AMARELO"</f>
        <v>CABO 1 X 1,0 MM VERDE/AMARELO</v>
      </c>
      <c r="C1417" t="str">
        <f>"51760035"</f>
        <v>51760035</v>
      </c>
      <c r="D1417" s="9"/>
      <c r="E1417" s="14" t="s">
        <v>15</v>
      </c>
    </row>
    <row r="1418" spans="1:5" ht="15.75" x14ac:dyDescent="0.25">
      <c r="A1418" s="5">
        <v>200</v>
      </c>
      <c r="B1418" s="6" t="str">
        <f>"CABO 1 X 1,0 MM VERMELHO"</f>
        <v>CABO 1 X 1,0 MM VERMELHO</v>
      </c>
      <c r="C1418" s="6" t="str">
        <f>"51760036"</f>
        <v>51760036</v>
      </c>
      <c r="D1418" s="10"/>
      <c r="E1418" s="14" t="s">
        <v>15</v>
      </c>
    </row>
    <row r="1419" spans="1:5" ht="15.75" x14ac:dyDescent="0.25">
      <c r="A1419" s="4">
        <v>200</v>
      </c>
      <c r="B1419" t="str">
        <f>"CABO 1 X 1,5 MM AZUL CLARO"</f>
        <v>CABO 1 X 1,5 MM AZUL CLARO</v>
      </c>
      <c r="C1419" t="str">
        <f>"51760041"</f>
        <v>51760041</v>
      </c>
      <c r="D1419" s="9"/>
      <c r="E1419" s="14" t="s">
        <v>15</v>
      </c>
    </row>
    <row r="1420" spans="1:5" ht="15.75" x14ac:dyDescent="0.25">
      <c r="A1420" s="5">
        <v>100</v>
      </c>
      <c r="B1420" s="6" t="str">
        <f>"CABO 1 X 1,5 MM CINZA"</f>
        <v>CABO 1 X 1,5 MM CINZA</v>
      </c>
      <c r="C1420" s="6" t="str">
        <f>"51760042"</f>
        <v>51760042</v>
      </c>
      <c r="D1420" s="10"/>
      <c r="E1420" s="14" t="s">
        <v>15</v>
      </c>
    </row>
    <row r="1421" spans="1:5" ht="15.75" x14ac:dyDescent="0.25">
      <c r="A1421" s="4">
        <v>200</v>
      </c>
      <c r="B1421" t="str">
        <f>"CABO 1 X 1,5 MM MARROM"</f>
        <v>CABO 1 X 1,5 MM MARROM</v>
      </c>
      <c r="C1421" t="str">
        <f>"51760043"</f>
        <v>51760043</v>
      </c>
      <c r="D1421" s="9"/>
      <c r="E1421" s="14" t="s">
        <v>15</v>
      </c>
    </row>
    <row r="1422" spans="1:5" ht="15.75" x14ac:dyDescent="0.25">
      <c r="A1422" s="5">
        <v>300</v>
      </c>
      <c r="B1422" s="6" t="str">
        <f>"CABO 1 X 1,5 MM PRETO"</f>
        <v>CABO 1 X 1,5 MM PRETO</v>
      </c>
      <c r="C1422" s="6" t="str">
        <f>"51760044"</f>
        <v>51760044</v>
      </c>
      <c r="D1422" s="10"/>
      <c r="E1422" s="14" t="s">
        <v>15</v>
      </c>
    </row>
    <row r="1423" spans="1:5" ht="15.75" x14ac:dyDescent="0.25">
      <c r="A1423" s="4">
        <v>100</v>
      </c>
      <c r="B1423" t="str">
        <f>"CABO 1 X 1,5 MM VERDE/AMARELO"</f>
        <v>CABO 1 X 1,5 MM VERDE/AMARELO</v>
      </c>
      <c r="C1423" t="str">
        <f>"51760045"</f>
        <v>51760045</v>
      </c>
      <c r="D1423" s="9"/>
      <c r="E1423" s="14" t="s">
        <v>15</v>
      </c>
    </row>
    <row r="1424" spans="1:5" ht="15.75" x14ac:dyDescent="0.25">
      <c r="A1424" s="5">
        <v>100</v>
      </c>
      <c r="B1424" s="6" t="str">
        <f>"CABO 1 X 1,5 MM VERMELHO"</f>
        <v>CABO 1 X 1,5 MM VERMELHO</v>
      </c>
      <c r="C1424" s="6" t="str">
        <f>"51760046"</f>
        <v>51760046</v>
      </c>
      <c r="D1424" s="10"/>
      <c r="E1424" s="14" t="s">
        <v>15</v>
      </c>
    </row>
    <row r="1425" spans="1:5" ht="15.75" x14ac:dyDescent="0.25">
      <c r="A1425" s="4">
        <v>100</v>
      </c>
      <c r="B1425" t="str">
        <f>"CABO 1 X 1,5 MM BRANCO"</f>
        <v>CABO 1 X 1,5 MM BRANCO</v>
      </c>
      <c r="C1425" t="str">
        <f>"51760048"</f>
        <v>51760048</v>
      </c>
      <c r="D1425" s="9"/>
      <c r="E1425" s="14" t="s">
        <v>15</v>
      </c>
    </row>
    <row r="1426" spans="1:5" ht="15.75" x14ac:dyDescent="0.25">
      <c r="A1426" s="5">
        <v>100</v>
      </c>
      <c r="B1426" s="6" t="str">
        <f>"CABO 1 X 1,5 MM LARANJA"</f>
        <v>CABO 1 X 1,5 MM LARANJA</v>
      </c>
      <c r="C1426" s="6" t="str">
        <f>"51760049"</f>
        <v>51760049</v>
      </c>
      <c r="D1426" s="10"/>
      <c r="E1426" s="14" t="s">
        <v>15</v>
      </c>
    </row>
    <row r="1427" spans="1:5" ht="15.75" x14ac:dyDescent="0.25">
      <c r="A1427" s="4">
        <v>100</v>
      </c>
      <c r="B1427" t="str">
        <f>"CABO 1 X 2,5 MM AZUL CLARO"</f>
        <v>CABO 1 X 2,5 MM AZUL CLARO</v>
      </c>
      <c r="C1427" t="str">
        <f>"51760051"</f>
        <v>51760051</v>
      </c>
      <c r="D1427" s="9"/>
      <c r="E1427" s="14" t="s">
        <v>15</v>
      </c>
    </row>
    <row r="1428" spans="1:5" ht="15.75" x14ac:dyDescent="0.25">
      <c r="A1428" s="5">
        <v>100</v>
      </c>
      <c r="B1428" s="6" t="str">
        <f>"CABO 1 X 2,5 MM CINZA"</f>
        <v>CABO 1 X 2,5 MM CINZA</v>
      </c>
      <c r="C1428" s="6" t="str">
        <f>"51760052"</f>
        <v>51760052</v>
      </c>
      <c r="D1428" s="10"/>
      <c r="E1428" s="14" t="s">
        <v>15</v>
      </c>
    </row>
    <row r="1429" spans="1:5" ht="15.75" x14ac:dyDescent="0.25">
      <c r="A1429" s="4">
        <v>100</v>
      </c>
      <c r="B1429" t="str">
        <f>"CABO 1 X 2,5 MM MARROM"</f>
        <v>CABO 1 X 2,5 MM MARROM</v>
      </c>
      <c r="C1429" t="str">
        <f>"51760053"</f>
        <v>51760053</v>
      </c>
      <c r="D1429" s="9"/>
      <c r="E1429" s="14" t="s">
        <v>15</v>
      </c>
    </row>
    <row r="1430" spans="1:5" ht="15.75" x14ac:dyDescent="0.25">
      <c r="A1430" s="5">
        <v>200</v>
      </c>
      <c r="B1430" s="6" t="str">
        <f>"CABO 1 X 2,5 MM PRETO"</f>
        <v>CABO 1 X 2,5 MM PRETO</v>
      </c>
      <c r="C1430" s="6" t="str">
        <f>"51760054"</f>
        <v>51760054</v>
      </c>
      <c r="D1430" s="10"/>
      <c r="E1430" s="14" t="s">
        <v>15</v>
      </c>
    </row>
    <row r="1431" spans="1:5" ht="15.75" x14ac:dyDescent="0.25">
      <c r="A1431" s="4">
        <v>300</v>
      </c>
      <c r="B1431" t="str">
        <f>"CABO 1 X 2,5 MM VERDE/AMARELO"</f>
        <v>CABO 1 X 2,5 MM VERDE/AMARELO</v>
      </c>
      <c r="C1431" t="str">
        <f>"51760055"</f>
        <v>51760055</v>
      </c>
      <c r="D1431" s="9"/>
      <c r="E1431" s="14" t="s">
        <v>15</v>
      </c>
    </row>
    <row r="1432" spans="1:5" ht="15.75" x14ac:dyDescent="0.25">
      <c r="A1432" s="5">
        <v>100</v>
      </c>
      <c r="B1432" s="6" t="str">
        <f>"CABO 1 X 2,5 MM VERMELHO"</f>
        <v>CABO 1 X 2,5 MM VERMELHO</v>
      </c>
      <c r="C1432" s="6" t="str">
        <f>"51760056"</f>
        <v>51760056</v>
      </c>
      <c r="D1432" s="10"/>
      <c r="E1432" s="14" t="s">
        <v>15</v>
      </c>
    </row>
    <row r="1433" spans="1:5" ht="15.75" x14ac:dyDescent="0.25">
      <c r="A1433" s="4">
        <v>100</v>
      </c>
      <c r="B1433" t="str">
        <f>"CABO 1 X 2,5 MM BRANCO"</f>
        <v>CABO 1 X 2,5 MM BRANCO</v>
      </c>
      <c r="C1433" t="str">
        <f>"51760058"</f>
        <v>51760058</v>
      </c>
      <c r="D1433" s="9"/>
      <c r="E1433" s="14" t="s">
        <v>15</v>
      </c>
    </row>
    <row r="1434" spans="1:5" ht="15.75" x14ac:dyDescent="0.25">
      <c r="A1434" s="5">
        <v>100</v>
      </c>
      <c r="B1434" s="6" t="str">
        <f>"CABO 1 X 4,0 MM MARRON"</f>
        <v>CABO 1 X 4,0 MM MARRON</v>
      </c>
      <c r="C1434" s="6" t="str">
        <f>"51760059"</f>
        <v>51760059</v>
      </c>
      <c r="D1434" s="10"/>
      <c r="E1434" s="14" t="s">
        <v>15</v>
      </c>
    </row>
    <row r="1435" spans="1:5" ht="15.75" x14ac:dyDescent="0.25">
      <c r="A1435" s="4">
        <v>100</v>
      </c>
      <c r="B1435" t="str">
        <f>"CABO 1 X 4,0 MM PRETO"</f>
        <v>CABO 1 X 4,0 MM PRETO</v>
      </c>
      <c r="C1435" t="str">
        <f>"51760060"</f>
        <v>51760060</v>
      </c>
      <c r="D1435" s="9"/>
      <c r="E1435" s="14" t="s">
        <v>15</v>
      </c>
    </row>
    <row r="1436" spans="1:5" ht="15.75" x14ac:dyDescent="0.25">
      <c r="A1436" s="5">
        <v>100</v>
      </c>
      <c r="B1436" s="6" t="str">
        <f>"CABO 1 X 4,0 MM BRANCO"</f>
        <v>CABO 1 X 4,0 MM BRANCO</v>
      </c>
      <c r="C1436" s="6" t="str">
        <f>"51760068"</f>
        <v>51760068</v>
      </c>
      <c r="D1436" s="10"/>
      <c r="E1436" s="14" t="s">
        <v>15</v>
      </c>
    </row>
    <row r="1437" spans="1:5" ht="15.75" x14ac:dyDescent="0.25">
      <c r="A1437" s="4">
        <v>100</v>
      </c>
      <c r="B1437" t="str">
        <f>"CABO 1 X 6,0 MM AZUL CLARO"</f>
        <v>CABO 1 X 6,0 MM AZUL CLARO</v>
      </c>
      <c r="C1437" t="str">
        <f>"51760070"</f>
        <v>51760070</v>
      </c>
      <c r="D1437" s="9"/>
      <c r="E1437" s="14" t="s">
        <v>15</v>
      </c>
    </row>
    <row r="1438" spans="1:5" ht="15.75" x14ac:dyDescent="0.25">
      <c r="A1438" s="5">
        <v>100</v>
      </c>
      <c r="B1438" s="6" t="str">
        <f>"CABO 1 X 6,0 MM CINZA"</f>
        <v>CABO 1 X 6,0 MM CINZA</v>
      </c>
      <c r="C1438" s="6" t="str">
        <f>"51760072"</f>
        <v>51760072</v>
      </c>
      <c r="D1438" s="10"/>
      <c r="E1438" s="14" t="s">
        <v>15</v>
      </c>
    </row>
    <row r="1439" spans="1:5" ht="15.75" x14ac:dyDescent="0.25">
      <c r="A1439" s="4">
        <v>100</v>
      </c>
      <c r="B1439" t="str">
        <f>"CABO 1 X 6,0 MM MARROM"</f>
        <v>CABO 1 X 6,0 MM MARROM</v>
      </c>
      <c r="C1439" t="str">
        <f>"51760073"</f>
        <v>51760073</v>
      </c>
      <c r="D1439" s="9"/>
      <c r="E1439" s="14" t="s">
        <v>15</v>
      </c>
    </row>
    <row r="1440" spans="1:5" ht="15.75" x14ac:dyDescent="0.25">
      <c r="A1440" s="5">
        <v>200</v>
      </c>
      <c r="B1440" s="6" t="str">
        <f>"CABO 1 X 6,0 MM PRETO"</f>
        <v>CABO 1 X 6,0 MM PRETO</v>
      </c>
      <c r="C1440" s="6" t="str">
        <f>"51760074"</f>
        <v>51760074</v>
      </c>
      <c r="D1440" s="10"/>
      <c r="E1440" s="14" t="s">
        <v>15</v>
      </c>
    </row>
    <row r="1441" spans="1:5" ht="15.75" x14ac:dyDescent="0.25">
      <c r="A1441" s="4">
        <v>400</v>
      </c>
      <c r="B1441" t="str">
        <f>"CABO 1 X 6,0 MM VERDE/AMARELO"</f>
        <v>CABO 1 X 6,0 MM VERDE/AMARELO</v>
      </c>
      <c r="C1441" t="str">
        <f>"51760075"</f>
        <v>51760075</v>
      </c>
      <c r="D1441" s="9"/>
      <c r="E1441" s="14" t="s">
        <v>15</v>
      </c>
    </row>
    <row r="1442" spans="1:5" ht="15.75" x14ac:dyDescent="0.25">
      <c r="A1442" s="5">
        <v>100</v>
      </c>
      <c r="B1442" s="6" t="str">
        <f>"CABO 1 X 6,0 MM VERMELHO"</f>
        <v>CABO 1 X 6,0 MM VERMELHO</v>
      </c>
      <c r="C1442" s="6" t="str">
        <f>"51760076"</f>
        <v>51760076</v>
      </c>
      <c r="D1442" s="10"/>
      <c r="E1442" s="14" t="s">
        <v>15</v>
      </c>
    </row>
    <row r="1443" spans="1:5" ht="15.75" x14ac:dyDescent="0.25">
      <c r="A1443" s="4">
        <v>100</v>
      </c>
      <c r="B1443" t="str">
        <f>"CABO 1 X 6,0 MM BRANCO"</f>
        <v>CABO 1 X 6,0 MM BRANCO</v>
      </c>
      <c r="C1443" t="str">
        <f>"51760078"</f>
        <v>51760078</v>
      </c>
      <c r="D1443" s="9"/>
      <c r="E1443" s="14" t="s">
        <v>15</v>
      </c>
    </row>
    <row r="1444" spans="1:5" ht="15.75" x14ac:dyDescent="0.25">
      <c r="A1444" s="5">
        <v>100</v>
      </c>
      <c r="B1444" s="6" t="str">
        <f>"CABO 1 X 10,0 MM VERDE/AMARELO"</f>
        <v>CABO 1 X 10,0 MM VERDE/AMARELO</v>
      </c>
      <c r="C1444" s="6" t="str">
        <f>"51760080"</f>
        <v>51760080</v>
      </c>
      <c r="D1444" s="10"/>
      <c r="E1444" s="14" t="s">
        <v>15</v>
      </c>
    </row>
    <row r="1445" spans="1:5" ht="15.75" x14ac:dyDescent="0.25">
      <c r="A1445" s="4">
        <v>100</v>
      </c>
      <c r="B1445" t="str">
        <f>"CABO 1 X 10,0 MM PRETO"</f>
        <v>CABO 1 X 10,0 MM PRETO</v>
      </c>
      <c r="C1445" t="str">
        <f>"51760083"</f>
        <v>51760083</v>
      </c>
      <c r="D1445" s="9"/>
      <c r="E1445" s="14" t="s">
        <v>15</v>
      </c>
    </row>
    <row r="1446" spans="1:5" ht="15.75" x14ac:dyDescent="0.25">
      <c r="A1446" s="5">
        <v>10</v>
      </c>
      <c r="B1446" s="6" t="str">
        <f>"CABO 1 X 16,0 MM PRETO"</f>
        <v>CABO 1 X 16,0 MM PRETO</v>
      </c>
      <c r="C1446" s="6" t="str">
        <f>"51760090"</f>
        <v>51760090</v>
      </c>
      <c r="D1446" s="10"/>
      <c r="E1446" s="14" t="s">
        <v>15</v>
      </c>
    </row>
    <row r="1447" spans="1:5" ht="15.75" x14ac:dyDescent="0.25">
      <c r="A1447" s="4">
        <v>100</v>
      </c>
      <c r="B1447" t="str">
        <f>"CABO 1 X 16,0 MM VERDE/AMARELO"</f>
        <v>CABO 1 X 16,0 MM VERDE/AMARELO</v>
      </c>
      <c r="C1447" t="str">
        <f>"51760091"</f>
        <v>51760091</v>
      </c>
      <c r="D1447" s="9"/>
      <c r="E1447" s="14" t="s">
        <v>15</v>
      </c>
    </row>
    <row r="1448" spans="1:5" ht="15.75" x14ac:dyDescent="0.25">
      <c r="A1448" s="5">
        <v>10</v>
      </c>
      <c r="B1448" s="6" t="str">
        <f>"CABO 1 X 16,0 MM AZUL CL"</f>
        <v>CABO 1 X 16,0 MM AZUL CL</v>
      </c>
      <c r="C1448" s="6" t="str">
        <f>"51760093"</f>
        <v>51760093</v>
      </c>
      <c r="D1448" s="10"/>
      <c r="E1448" s="14" t="s">
        <v>15</v>
      </c>
    </row>
    <row r="1449" spans="1:5" ht="15.75" x14ac:dyDescent="0.25">
      <c r="A1449" s="4">
        <v>2</v>
      </c>
      <c r="B1449" t="str">
        <f>"CABO 1 X 25,0 MM PRETO"</f>
        <v>CABO 1 X 25,0 MM PRETO</v>
      </c>
      <c r="C1449" t="str">
        <f>"51760097"</f>
        <v>51760097</v>
      </c>
      <c r="D1449" s="9"/>
      <c r="E1449" s="14" t="s">
        <v>15</v>
      </c>
    </row>
    <row r="1450" spans="1:5" ht="15.75" x14ac:dyDescent="0.25">
      <c r="A1450" s="5">
        <v>1</v>
      </c>
      <c r="B1450" s="6" t="str">
        <f>"CABO 1 X 25,0 MM AZUL CL"</f>
        <v>CABO 1 X 25,0 MM AZUL CL</v>
      </c>
      <c r="C1450" s="6" t="str">
        <f>"51760098"</f>
        <v>51760098</v>
      </c>
      <c r="D1450" s="10"/>
      <c r="E1450" s="14" t="s">
        <v>15</v>
      </c>
    </row>
    <row r="1451" spans="1:5" ht="15.75" x14ac:dyDescent="0.25">
      <c r="A1451" s="4">
        <v>45</v>
      </c>
      <c r="B1451" t="str">
        <f>"CABO 1 X 50,0 MM PRETO"</f>
        <v>CABO 1 X 50,0 MM PRETO</v>
      </c>
      <c r="C1451" t="str">
        <f>"51760110"</f>
        <v>51760110</v>
      </c>
      <c r="D1451" s="9"/>
      <c r="E1451" s="14" t="s">
        <v>15</v>
      </c>
    </row>
    <row r="1452" spans="1:5" ht="15.75" x14ac:dyDescent="0.25">
      <c r="A1452" s="5">
        <v>14</v>
      </c>
      <c r="B1452" s="6" t="str">
        <f>"CABO 2 X 0,5 MM2 C/ MALHA"</f>
        <v>CABO 2 X 0,5 MM2 C/ MALHA</v>
      </c>
      <c r="C1452" s="6" t="str">
        <f>"51760400"</f>
        <v>51760400</v>
      </c>
      <c r="D1452" s="10"/>
      <c r="E1452" s="14" t="s">
        <v>15</v>
      </c>
    </row>
    <row r="1453" spans="1:5" ht="15.75" x14ac:dyDescent="0.25">
      <c r="A1453" s="4">
        <v>12</v>
      </c>
      <c r="B1453" t="str">
        <f>"CABO 1 X 1 MM2 C/ MALHA"</f>
        <v>CABO 1 X 1 MM2 C/ MALHA</v>
      </c>
      <c r="C1453" t="str">
        <f>"51760402"</f>
        <v>51760402</v>
      </c>
      <c r="D1453" s="9"/>
      <c r="E1453" s="14" t="s">
        <v>15</v>
      </c>
    </row>
    <row r="1454" spans="1:5" ht="15.75" x14ac:dyDescent="0.25">
      <c r="A1454" s="5">
        <v>50</v>
      </c>
      <c r="B1454" s="6" t="str">
        <f>"CABO DE PROFIBUS - FMS / DP 1 X 2 X 0,64"</f>
        <v>CABO DE PROFIBUS - FMS / DP 1 X 2 X 0,64</v>
      </c>
      <c r="C1454" s="6" t="str">
        <f>"51760405"</f>
        <v>51760405</v>
      </c>
      <c r="D1454" s="10"/>
      <c r="E1454" s="14" t="s">
        <v>15</v>
      </c>
    </row>
    <row r="1455" spans="1:5" ht="15.75" x14ac:dyDescent="0.25">
      <c r="A1455" s="4">
        <v>12</v>
      </c>
      <c r="B1455" t="str">
        <f>"CABO 2 X 1,5 MM"</f>
        <v>CABO 2 X 1,5 MM</v>
      </c>
      <c r="C1455" t="str">
        <f>"51760435"</f>
        <v>51760435</v>
      </c>
      <c r="D1455" s="9"/>
      <c r="E1455" s="14" t="s">
        <v>15</v>
      </c>
    </row>
    <row r="1456" spans="1:5" ht="15.75" x14ac:dyDescent="0.25">
      <c r="A1456" s="5">
        <v>370</v>
      </c>
      <c r="B1456" s="6" t="str">
        <f>"CABO 2 X 1,0 mm numerado"</f>
        <v>CABO 2 X 1,0 mm numerado</v>
      </c>
      <c r="C1456" s="6" t="str">
        <f>"51760438"</f>
        <v>51760438</v>
      </c>
      <c r="D1456" s="10"/>
      <c r="E1456" s="14" t="s">
        <v>15</v>
      </c>
    </row>
    <row r="1457" spans="1:5" ht="15.75" x14ac:dyDescent="0.25">
      <c r="A1457" s="4">
        <v>90</v>
      </c>
      <c r="B1457" t="str">
        <f>"CABO 3 X 1,5 MM C/ TERRA ( 2 +T) numerado"</f>
        <v>CABO 3 X 1,5 MM C/ TERRA ( 2 +T) numerado</v>
      </c>
      <c r="C1457" t="str">
        <f>"51760600"</f>
        <v>51760600</v>
      </c>
      <c r="D1457" s="9"/>
      <c r="E1457" s="14" t="s">
        <v>15</v>
      </c>
    </row>
    <row r="1458" spans="1:5" ht="15.75" x14ac:dyDescent="0.25">
      <c r="A1458" s="5">
        <v>360</v>
      </c>
      <c r="B1458" s="6" t="str">
        <f>"CABO 3 X 1,0 MM C /TERRA"</f>
        <v>CABO 3 X 1,0 MM C /TERRA</v>
      </c>
      <c r="C1458" s="6" t="str">
        <f>"51760602"</f>
        <v>51760602</v>
      </c>
      <c r="D1458" s="10"/>
      <c r="E1458" s="14" t="s">
        <v>15</v>
      </c>
    </row>
    <row r="1459" spans="1:5" ht="15.75" x14ac:dyDescent="0.25">
      <c r="A1459" s="4">
        <v>95</v>
      </c>
      <c r="B1459" t="str">
        <f>"CABO 3 X 0,5 mm - numerado"</f>
        <v>CABO 3 X 0,5 mm - numerado</v>
      </c>
      <c r="C1459" t="str">
        <f>"51760604"</f>
        <v>51760604</v>
      </c>
      <c r="D1459" s="9"/>
      <c r="E1459" s="14" t="s">
        <v>15</v>
      </c>
    </row>
    <row r="1460" spans="1:5" ht="15.75" x14ac:dyDescent="0.25">
      <c r="A1460" s="5">
        <v>55</v>
      </c>
      <c r="B1460" s="6" t="str">
        <f>"CABO 3 X 1,0 MM"</f>
        <v>CABO 3 X 1,0 MM</v>
      </c>
      <c r="C1460" s="6" t="str">
        <f>"51760606"</f>
        <v>51760606</v>
      </c>
      <c r="D1460" s="10"/>
      <c r="E1460" s="14" t="s">
        <v>15</v>
      </c>
    </row>
    <row r="1461" spans="1:5" ht="15.75" x14ac:dyDescent="0.25">
      <c r="A1461" s="4">
        <v>52</v>
      </c>
      <c r="B1461" t="str">
        <f>"CABO 3 X 10 MM"</f>
        <v>CABO 3 X 10 MM</v>
      </c>
      <c r="C1461" t="str">
        <f>"51760610"</f>
        <v>51760610</v>
      </c>
      <c r="D1461" s="9"/>
      <c r="E1461" s="14" t="s">
        <v>15</v>
      </c>
    </row>
    <row r="1462" spans="1:5" ht="15.75" x14ac:dyDescent="0.25">
      <c r="A1462" s="5">
        <v>50</v>
      </c>
      <c r="B1462" s="6" t="str">
        <f>"CABO 3 X 1,0 MM C/ MALHA E VIA DE TERRA"</f>
        <v>CABO 3 X 1,0 MM C/ MALHA E VIA DE TERRA</v>
      </c>
      <c r="C1462" s="6" t="str">
        <f>"51760620"</f>
        <v>51760620</v>
      </c>
      <c r="D1462" s="10"/>
      <c r="E1462" s="14" t="s">
        <v>15</v>
      </c>
    </row>
    <row r="1463" spans="1:5" ht="15.75" x14ac:dyDescent="0.25">
      <c r="A1463" s="4">
        <v>18</v>
      </c>
      <c r="B1463" t="str">
        <f>"CABO 3 X 2,5 MM -  C / TERRA"</f>
        <v>CABO 3 X 2,5 MM -  C / TERRA</v>
      </c>
      <c r="C1463" t="str">
        <f>"51760645"</f>
        <v>51760645</v>
      </c>
      <c r="D1463" s="9"/>
      <c r="E1463" s="14" t="s">
        <v>15</v>
      </c>
    </row>
    <row r="1464" spans="1:5" ht="15.75" x14ac:dyDescent="0.25">
      <c r="A1464" s="5">
        <v>9</v>
      </c>
      <c r="B1464" s="6" t="str">
        <f>"CABO 4 X 0,34 MM C/ MALHA  via colorida"</f>
        <v>CABO 4 X 0,34 MM C/ MALHA  via colorida</v>
      </c>
      <c r="C1464" s="6" t="str">
        <f>"51760800"</f>
        <v>51760800</v>
      </c>
      <c r="D1464" s="10"/>
      <c r="E1464" s="14" t="s">
        <v>15</v>
      </c>
    </row>
    <row r="1465" spans="1:5" ht="15.75" x14ac:dyDescent="0.25">
      <c r="A1465" s="4">
        <v>32</v>
      </c>
      <c r="B1465" t="str">
        <f>"CABO 4 X 1,5 MM COM MALHA E COM VIA DE TERRA"</f>
        <v>CABO 4 X 1,5 MM COM MALHA E COM VIA DE TERRA</v>
      </c>
      <c r="C1465" t="str">
        <f>"51760801"</f>
        <v>51760801</v>
      </c>
      <c r="D1465" s="9"/>
      <c r="E1465" s="14" t="s">
        <v>15</v>
      </c>
    </row>
    <row r="1466" spans="1:5" ht="15.75" x14ac:dyDescent="0.25">
      <c r="A1466" s="5">
        <v>22</v>
      </c>
      <c r="B1466" s="6" t="str">
        <f>"CABO 4 X 4 X 22 AWG C/ MALHA E FITA - ETHERNET"</f>
        <v>CABO 4 X 4 X 22 AWG C/ MALHA E FITA - ETHERNET</v>
      </c>
      <c r="C1466" s="6" t="str">
        <f>"51760811"</f>
        <v>51760811</v>
      </c>
      <c r="D1466" s="10"/>
      <c r="E1466" s="14" t="s">
        <v>15</v>
      </c>
    </row>
    <row r="1467" spans="1:5" ht="15.75" x14ac:dyDescent="0.25">
      <c r="A1467" s="4">
        <v>55</v>
      </c>
      <c r="B1467" t="str">
        <f>"CABO 4 X 4,0 MM C/ TERRA (3+T) + MALHA"</f>
        <v>CABO 4 X 4,0 MM C/ TERRA (3+T) + MALHA</v>
      </c>
      <c r="C1467" t="str">
        <f>"51760813"</f>
        <v>51760813</v>
      </c>
      <c r="D1467" s="9"/>
      <c r="E1467" s="14" t="s">
        <v>15</v>
      </c>
    </row>
    <row r="1468" spans="1:5" ht="15.75" x14ac:dyDescent="0.25">
      <c r="A1468" s="5">
        <v>85</v>
      </c>
      <c r="B1468" s="6" t="str">
        <f>"CABO 4 X 10 MM  COM VIA DE TERRA"</f>
        <v>CABO 4 X 10 MM  COM VIA DE TERRA</v>
      </c>
      <c r="C1468" s="6" t="str">
        <f>"51760820"</f>
        <v>51760820</v>
      </c>
      <c r="D1468" s="10"/>
      <c r="E1468" s="14" t="s">
        <v>15</v>
      </c>
    </row>
    <row r="1469" spans="1:5" ht="15.75" x14ac:dyDescent="0.25">
      <c r="A1469" s="4">
        <v>85</v>
      </c>
      <c r="B1469" t="str">
        <f>"CABO 4 X 10 mm C/ MALHA  e via terra ( 3 + T) numerado"</f>
        <v>CABO 4 X 10 mm C/ MALHA  e via terra ( 3 + T) numerado</v>
      </c>
      <c r="C1469" t="str">
        <f>"51760825"</f>
        <v>51760825</v>
      </c>
      <c r="D1469" s="9"/>
      <c r="E1469" s="14" t="s">
        <v>15</v>
      </c>
    </row>
    <row r="1470" spans="1:5" ht="15.75" x14ac:dyDescent="0.25">
      <c r="A1470" s="5">
        <v>12</v>
      </c>
      <c r="B1470" s="6" t="str">
        <f>"CABO 4 X 1,5 MM  COM VIA DE TERRA"</f>
        <v>CABO 4 X 1,5 MM  COM VIA DE TERRA</v>
      </c>
      <c r="C1470" s="6" t="str">
        <f>"51760832"</f>
        <v>51760832</v>
      </c>
      <c r="D1470" s="10"/>
      <c r="E1470" s="14" t="s">
        <v>15</v>
      </c>
    </row>
    <row r="1471" spans="1:5" ht="15.75" x14ac:dyDescent="0.25">
      <c r="A1471" s="4">
        <v>210</v>
      </c>
      <c r="B1471" t="str">
        <f>"CABO 4 X 1,0 MM C/ TERRA (3+T)"</f>
        <v>CABO 4 X 1,0 MM C/ TERRA (3+T)</v>
      </c>
      <c r="C1471" t="str">
        <f>"51760836"</f>
        <v>51760836</v>
      </c>
      <c r="D1471" s="9"/>
      <c r="E1471" s="14" t="s">
        <v>15</v>
      </c>
    </row>
    <row r="1472" spans="1:5" ht="15.75" x14ac:dyDescent="0.25">
      <c r="A1472" s="5">
        <v>30</v>
      </c>
      <c r="B1472" s="6" t="str">
        <f>"CABO 4 X 1,0 MM C/ MALHA C/ Terra"</f>
        <v>CABO 4 X 1,0 MM C/ MALHA C/ Terra</v>
      </c>
      <c r="C1472" s="6" t="str">
        <f>"51760839"</f>
        <v>51760839</v>
      </c>
      <c r="D1472" s="10"/>
      <c r="E1472" s="14" t="s">
        <v>15</v>
      </c>
    </row>
    <row r="1473" spans="1:5" ht="15.75" x14ac:dyDescent="0.25">
      <c r="A1473" s="4">
        <v>562</v>
      </c>
      <c r="B1473" t="str">
        <f>"CABO 4 X 1,0 mm -  numerado"</f>
        <v>CABO 4 X 1,0 mm -  numerado</v>
      </c>
      <c r="C1473" t="str">
        <f>"51760840"</f>
        <v>51760840</v>
      </c>
      <c r="D1473" s="9"/>
      <c r="E1473" s="14" t="s">
        <v>15</v>
      </c>
    </row>
    <row r="1474" spans="1:5" ht="15.75" x14ac:dyDescent="0.25">
      <c r="A1474" s="5">
        <v>21</v>
      </c>
      <c r="B1474" s="6" t="str">
        <f>"CABO 4 X 4,0 MM C/ VIA TERRA"</f>
        <v>CABO 4 X 4,0 MM C/ VIA TERRA</v>
      </c>
      <c r="C1474" s="6" t="str">
        <f>"51760852"</f>
        <v>51760852</v>
      </c>
      <c r="D1474" s="10"/>
      <c r="E1474" s="14" t="s">
        <v>15</v>
      </c>
    </row>
    <row r="1475" spans="1:5" ht="15.75" x14ac:dyDescent="0.25">
      <c r="A1475" s="4">
        <v>15</v>
      </c>
      <c r="B1475" t="str">
        <f>"CABO 5 x 1,5mm² COM VIA DE TERRA"</f>
        <v>CABO 5 x 1,5mm² COM VIA DE TERRA</v>
      </c>
      <c r="C1475" t="str">
        <f>"51761000"</f>
        <v>51761000</v>
      </c>
      <c r="D1475" s="9"/>
      <c r="E1475" s="14" t="s">
        <v>15</v>
      </c>
    </row>
    <row r="1476" spans="1:5" ht="15.75" x14ac:dyDescent="0.25">
      <c r="A1476" s="5">
        <v>62</v>
      </c>
      <c r="B1476" s="6" t="str">
        <f>"CABO 5 X 1,0 mm - numerado"</f>
        <v>CABO 5 X 1,0 mm - numerado</v>
      </c>
      <c r="C1476" s="6" t="str">
        <f>"51761070"</f>
        <v>51761070</v>
      </c>
      <c r="D1476" s="10"/>
      <c r="E1476" s="14" t="s">
        <v>15</v>
      </c>
    </row>
    <row r="1477" spans="1:5" ht="15.75" x14ac:dyDescent="0.25">
      <c r="A1477" s="4">
        <v>30</v>
      </c>
      <c r="B1477" t="str">
        <f>"CABO 5 X 1,0 MM  C/ VIA DE TERRA"</f>
        <v>CABO 5 X 1,0 MM  C/ VIA DE TERRA</v>
      </c>
      <c r="C1477" t="str">
        <f>"51761071"</f>
        <v>51761071</v>
      </c>
      <c r="D1477" s="9"/>
      <c r="E1477" s="14" t="s">
        <v>15</v>
      </c>
    </row>
    <row r="1478" spans="1:5" ht="15.75" x14ac:dyDescent="0.25">
      <c r="A1478" s="5">
        <v>68</v>
      </c>
      <c r="B1478" s="6" t="str">
        <f>"CABO 7 x 1,5mm²  C/ VIA DE TERRA"</f>
        <v>CABO 7 x 1,5mm²  C/ VIA DE TERRA</v>
      </c>
      <c r="C1478" s="6" t="str">
        <f>"51761401"</f>
        <v>51761401</v>
      </c>
      <c r="D1478" s="10"/>
      <c r="E1478" s="14" t="s">
        <v>15</v>
      </c>
    </row>
    <row r="1479" spans="1:5" ht="15.75" x14ac:dyDescent="0.25">
      <c r="A1479" s="4">
        <v>29</v>
      </c>
      <c r="B1479" t="str">
        <f>"CABO 7 x 0,5mm² COM MALHA E VIA DE TERRA"</f>
        <v>CABO 7 x 0,5mm² COM MALHA E VIA DE TERRA</v>
      </c>
      <c r="C1479" t="str">
        <f>"51761402"</f>
        <v>51761402</v>
      </c>
      <c r="D1479" s="9"/>
      <c r="E1479" s="14" t="s">
        <v>15</v>
      </c>
    </row>
    <row r="1480" spans="1:5" ht="15.75" x14ac:dyDescent="0.25">
      <c r="A1480" s="5">
        <v>190</v>
      </c>
      <c r="B1480" s="6" t="str">
        <f>"CABO 7 X 1,0 MM   C/ TERRA"</f>
        <v>CABO 7 X 1,0 MM   C/ TERRA</v>
      </c>
      <c r="C1480" s="6" t="str">
        <f>"51761408"</f>
        <v>51761408</v>
      </c>
      <c r="D1480" s="10"/>
      <c r="E1480" s="14" t="s">
        <v>15</v>
      </c>
    </row>
    <row r="1481" spans="1:5" ht="15.75" x14ac:dyDescent="0.25">
      <c r="A1481" s="4">
        <v>60</v>
      </c>
      <c r="B1481" t="str">
        <f>"CABO 8 X 0,25 mm2  ( MANGA ) S/ MALHA - colorido"</f>
        <v>CABO 8 X 0,25 mm2  ( MANGA ) S/ MALHA - colorido</v>
      </c>
      <c r="C1481" t="str">
        <f>"51761610"</f>
        <v>51761610</v>
      </c>
      <c r="D1481" s="9"/>
      <c r="E1481" s="14" t="s">
        <v>15</v>
      </c>
    </row>
    <row r="1482" spans="1:5" ht="15.75" x14ac:dyDescent="0.25">
      <c r="A1482" s="5">
        <v>20</v>
      </c>
      <c r="B1482" s="6" t="str">
        <f>"CABO 12 X 1,0 MM C/TERRA"</f>
        <v>CABO 12 X 1,0 MM C/TERRA</v>
      </c>
      <c r="C1482" s="6" t="str">
        <f>"51762401"</f>
        <v>51762401</v>
      </c>
      <c r="D1482" s="10"/>
      <c r="E1482" s="14" t="s">
        <v>15</v>
      </c>
    </row>
    <row r="1483" spans="1:5" ht="15.75" x14ac:dyDescent="0.25">
      <c r="A1483" s="4">
        <v>15</v>
      </c>
      <c r="B1483" t="str">
        <f>"CABO 18 X 0,5 mm2 - C/TERRA"</f>
        <v>CABO 18 X 0,5 mm2 - C/TERRA</v>
      </c>
      <c r="C1483" t="str">
        <f>"51763604"</f>
        <v>51763604</v>
      </c>
      <c r="D1483" s="9"/>
      <c r="E1483" s="14" t="s">
        <v>15</v>
      </c>
    </row>
    <row r="1484" spans="1:5" ht="15.75" x14ac:dyDescent="0.25">
      <c r="A1484" s="5">
        <v>16</v>
      </c>
      <c r="B1484" s="6" t="str">
        <f>"CABO 25 X 1,0 MM C/ TERRA"</f>
        <v>CABO 25 X 1,0 MM C/ TERRA</v>
      </c>
      <c r="C1484" s="6" t="str">
        <f>"51765200"</f>
        <v>51765200</v>
      </c>
      <c r="D1484" s="10"/>
      <c r="E1484" s="14" t="s">
        <v>15</v>
      </c>
    </row>
    <row r="1485" spans="1:5" ht="15.75" x14ac:dyDescent="0.25">
      <c r="A1485" s="4">
        <v>1</v>
      </c>
      <c r="B1485" t="str">
        <f>"CABO C/ CONECTOR DE 17 VIAS P/ ENCODER RCN 8380 - 12 m"</f>
        <v>CABO C/ CONECTOR DE 17 VIAS P/ ENCODER RCN 8380 - 12 m</v>
      </c>
      <c r="C1485" t="str">
        <f>"51766252"</f>
        <v>51766252</v>
      </c>
      <c r="D1485" s="9"/>
      <c r="E1485" s="14" t="s">
        <v>15</v>
      </c>
    </row>
    <row r="1486" spans="1:5" ht="15.75" x14ac:dyDescent="0.25">
      <c r="A1486" s="5">
        <v>12</v>
      </c>
      <c r="B1486" s="6" t="str">
        <f>"Cabo especial de potencia p/ mt  Bosch - 2000 n/m"</f>
        <v>Cabo especial de potencia p/ mt  Bosch - 2000 n/m</v>
      </c>
      <c r="C1486" s="6" t="str">
        <f>"51766404"</f>
        <v>51766404</v>
      </c>
      <c r="D1486" s="10"/>
      <c r="E1486" s="14" t="s">
        <v>15</v>
      </c>
    </row>
    <row r="1487" spans="1:5" ht="15.75" x14ac:dyDescent="0.25">
      <c r="A1487" s="4">
        <v>6</v>
      </c>
      <c r="B1487" t="str">
        <f>"CABO BLINd. ENC.   Z141.M22  BAUMER c/ 22 metros"</f>
        <v>CABO BLINd. ENC.   Z141.M22  BAUMER c/ 22 metros</v>
      </c>
      <c r="C1487" t="str">
        <f>"51766409"</f>
        <v>51766409</v>
      </c>
      <c r="D1487" s="9"/>
      <c r="E1487" s="14" t="s">
        <v>15</v>
      </c>
    </row>
    <row r="1488" spans="1:5" ht="15.75" x14ac:dyDescent="0.25">
      <c r="A1488" s="5">
        <v>7</v>
      </c>
      <c r="B1488" s="6" t="str">
        <f>"CB ENCR ANXPC BOSCH 11,5 m"</f>
        <v>CB ENCR ANXPC BOSCH 11,5 m</v>
      </c>
      <c r="C1488" s="6" t="str">
        <f>"51766471"</f>
        <v>51766471</v>
      </c>
      <c r="D1488" s="10"/>
      <c r="E1488" s="14" t="s">
        <v>15</v>
      </c>
    </row>
    <row r="1489" spans="1:5" ht="15.75" x14ac:dyDescent="0.25">
      <c r="A1489" s="4">
        <v>1</v>
      </c>
      <c r="B1489" t="str">
        <f>"CB ENCR ANXPC BOSCH 9,5 m"</f>
        <v>CB ENCR ANXPC BOSCH 9,5 m</v>
      </c>
      <c r="C1489" t="str">
        <f>"51766475"</f>
        <v>51766475</v>
      </c>
      <c r="D1489" s="9"/>
      <c r="E1489" s="14" t="s">
        <v>15</v>
      </c>
    </row>
    <row r="1490" spans="1:5" ht="15.75" x14ac:dyDescent="0.25">
      <c r="A1490" s="5">
        <v>3</v>
      </c>
      <c r="B1490" s="6" t="str">
        <f>"CB ENCR ANXPC BOSCH 10,0 m"</f>
        <v>CB ENCR ANXPC BOSCH 10,0 m</v>
      </c>
      <c r="C1490" s="6" t="str">
        <f>"51766476"</f>
        <v>51766476</v>
      </c>
      <c r="D1490" s="10"/>
      <c r="E1490" s="14" t="s">
        <v>15</v>
      </c>
    </row>
    <row r="1491" spans="1:5" ht="15.75" x14ac:dyDescent="0.25">
      <c r="A1491" s="4">
        <v>2</v>
      </c>
      <c r="B1491" t="str">
        <f>"CB ENCR ANXPC BOSCH 10,5 m"</f>
        <v>CB ENCR ANXPC BOSCH 10,5 m</v>
      </c>
      <c r="C1491" t="str">
        <f>"51766477"</f>
        <v>51766477</v>
      </c>
      <c r="D1491" s="9"/>
      <c r="E1491" s="14" t="s">
        <v>15</v>
      </c>
    </row>
    <row r="1492" spans="1:5" ht="15.75" x14ac:dyDescent="0.25">
      <c r="A1492" s="5">
        <v>4</v>
      </c>
      <c r="B1492" s="6" t="str">
        <f>"CABO ENCODER ANXPC BOSCH 11,0 m"</f>
        <v>CABO ENCODER ANXPC BOSCH 11,0 m</v>
      </c>
      <c r="C1492" s="6" t="str">
        <f>"51766478"</f>
        <v>51766478</v>
      </c>
      <c r="D1492" s="10"/>
      <c r="E1492" s="14" t="s">
        <v>15</v>
      </c>
    </row>
    <row r="1493" spans="1:5" ht="15.75" x14ac:dyDescent="0.25">
      <c r="A1493" s="4">
        <v>5</v>
      </c>
      <c r="B1493" t="str">
        <f>"CABO DE ENCODER RKG4200/012,0 (RGS101-INK0448-INS0760)"</f>
        <v>CABO DE ENCODER RKG4200/012,0 (RGS101-INK0448-INS0760)</v>
      </c>
      <c r="C1493" t="str">
        <f>"51766479"</f>
        <v>51766479</v>
      </c>
      <c r="D1493" s="9"/>
      <c r="E1493" s="14" t="s">
        <v>15</v>
      </c>
    </row>
    <row r="1494" spans="1:5" ht="15.75" x14ac:dyDescent="0.25">
      <c r="A1494" s="5">
        <v>4</v>
      </c>
      <c r="B1494" s="6" t="str">
        <f>"CB ENCR ANXPC BOSCH 12,5 m"</f>
        <v>CB ENCR ANXPC BOSCH 12,5 m</v>
      </c>
      <c r="C1494" s="6" t="str">
        <f>"51766481"</f>
        <v>51766481</v>
      </c>
      <c r="D1494" s="10"/>
      <c r="E1494" s="14" t="s">
        <v>15</v>
      </c>
    </row>
    <row r="1495" spans="1:5" ht="15.75" x14ac:dyDescent="0.25">
      <c r="A1495" s="4">
        <v>5</v>
      </c>
      <c r="B1495" t="str">
        <f>"CB ENCR ANXPC BOSCH 13,0 m"</f>
        <v>CB ENCR ANXPC BOSCH 13,0 m</v>
      </c>
      <c r="C1495" t="str">
        <f>"51766482"</f>
        <v>51766482</v>
      </c>
      <c r="D1495" s="9"/>
      <c r="E1495" s="14" t="s">
        <v>15</v>
      </c>
    </row>
    <row r="1496" spans="1:5" ht="15.75" x14ac:dyDescent="0.25">
      <c r="A1496" s="5">
        <v>2</v>
      </c>
      <c r="B1496" s="6" t="str">
        <f>"CB ENCR ANXPC BOSCH 13,5 m"</f>
        <v>CB ENCR ANXPC BOSCH 13,5 m</v>
      </c>
      <c r="C1496" s="6" t="str">
        <f>"51766483"</f>
        <v>51766483</v>
      </c>
      <c r="D1496" s="10"/>
      <c r="E1496" s="14" t="s">
        <v>15</v>
      </c>
    </row>
    <row r="1497" spans="1:5" ht="15.75" x14ac:dyDescent="0.25">
      <c r="A1497" s="4">
        <v>3</v>
      </c>
      <c r="B1497" t="str">
        <f>"CB ENCR ANXPC BOSCH 14,0 m"</f>
        <v>CB ENCR ANXPC BOSCH 14,0 m</v>
      </c>
      <c r="C1497" t="str">
        <f>"51766484"</f>
        <v>51766484</v>
      </c>
      <c r="D1497" s="9"/>
      <c r="E1497" s="14" t="s">
        <v>15</v>
      </c>
    </row>
    <row r="1498" spans="1:5" ht="15.75" x14ac:dyDescent="0.25">
      <c r="A1498" s="5">
        <v>4</v>
      </c>
      <c r="B1498" s="6" t="str">
        <f>"CB ENCR ANXPC BOSCH 14,5 m"</f>
        <v>CB ENCR ANXPC BOSCH 14,5 m</v>
      </c>
      <c r="C1498" s="6" t="str">
        <f>"51766485"</f>
        <v>51766485</v>
      </c>
      <c r="D1498" s="10"/>
      <c r="E1498" s="14" t="s">
        <v>15</v>
      </c>
    </row>
    <row r="1499" spans="1:5" ht="15.75" x14ac:dyDescent="0.25">
      <c r="A1499" s="4">
        <v>1</v>
      </c>
      <c r="B1499" t="str">
        <f>"CABO C/ CONECTOR ( ANGULAR ) P/ SENSOR INDUTIVO M12 - 25 M"</f>
        <v>CABO C/ CONECTOR ( ANGULAR ) P/ SENSOR INDUTIVO M12 - 25 M</v>
      </c>
      <c r="C1499" t="str">
        <f>"51766515"</f>
        <v>51766515</v>
      </c>
      <c r="D1499" s="9"/>
      <c r="E1499" s="14" t="s">
        <v>15</v>
      </c>
    </row>
    <row r="1500" spans="1:5" ht="15.75" x14ac:dyDescent="0.25">
      <c r="A1500" s="5">
        <v>1</v>
      </c>
      <c r="B1500" s="6" t="str">
        <f>"CABO C/ CONECTOR RETO M8 3 POLOS  P/ SENSOR PNEUM. - 10 m"</f>
        <v>CABO C/ CONECTOR RETO M8 3 POLOS  P/ SENSOR PNEUM. - 10 m</v>
      </c>
      <c r="C1500" s="6" t="str">
        <f>"51766540"</f>
        <v>51766540</v>
      </c>
      <c r="D1500" s="10"/>
      <c r="E1500" s="14" t="s">
        <v>15</v>
      </c>
    </row>
    <row r="1501" spans="1:5" ht="15.75" x14ac:dyDescent="0.25">
      <c r="A1501" s="4">
        <v>2</v>
      </c>
      <c r="B1501" t="str">
        <f>"CABO C/ CONECTOR RETO M8 4 POLOS  15M P/ SENSOR MAG. DE SEG."</f>
        <v>CABO C/ CONECTOR RETO M8 4 POLOS  15M P/ SENSOR MAG. DE SEG.</v>
      </c>
      <c r="C1501" t="str">
        <f>"51766553"</f>
        <v>51766553</v>
      </c>
      <c r="D1501" s="9"/>
      <c r="E1501" s="14" t="s">
        <v>15</v>
      </c>
    </row>
    <row r="1502" spans="1:5" ht="15.75" x14ac:dyDescent="0.25">
      <c r="A1502" s="5">
        <v>1</v>
      </c>
      <c r="B1502" s="6" t="str">
        <f>"CABO C/ CONECTOR 90° M8 4 POLOS  20M P/ SENSOR MAG. DE SEG."</f>
        <v>CABO C/ CONECTOR 90° M8 4 POLOS  20M P/ SENSOR MAG. DE SEG.</v>
      </c>
      <c r="C1502" s="6" t="str">
        <f>"51766554"</f>
        <v>51766554</v>
      </c>
      <c r="D1502" s="10"/>
      <c r="E1502" s="14" t="s">
        <v>15</v>
      </c>
    </row>
    <row r="1503" spans="1:5" ht="15.75" x14ac:dyDescent="0.25">
      <c r="A1503" s="4">
        <v>2</v>
      </c>
      <c r="B1503" t="str">
        <f>"CABO C/ CONECTOR 90° M8 4 POLOS  15M P/ SENSOR MAG. DE SEG."</f>
        <v>CABO C/ CONECTOR 90° M8 4 POLOS  15M P/ SENSOR MAG. DE SEG.</v>
      </c>
      <c r="C1503" t="str">
        <f>"51766555"</f>
        <v>51766555</v>
      </c>
      <c r="D1503" s="9"/>
      <c r="E1503" s="14" t="s">
        <v>15</v>
      </c>
    </row>
    <row r="1504" spans="1:5" ht="15.75" x14ac:dyDescent="0.25">
      <c r="A1504" s="5">
        <v>12</v>
      </c>
      <c r="B1504" s="6" t="str">
        <f>"CABO C/ CONECTOR RETO MACHO 4 POLOS M12 PUR-OB 1,5 m"</f>
        <v>CABO C/ CONECTOR RETO MACHO 4 POLOS M12 PUR-OB 1,5 m</v>
      </c>
      <c r="C1504" s="6" t="str">
        <f>"51766580"</f>
        <v>51766580</v>
      </c>
      <c r="D1504" s="10"/>
      <c r="E1504" s="14" t="s">
        <v>15</v>
      </c>
    </row>
    <row r="1505" spans="1:5" ht="15.75" x14ac:dyDescent="0.25">
      <c r="A1505" s="4">
        <v>1</v>
      </c>
      <c r="B1505" t="str">
        <f>"CABO C/ CONECTOR RETO 4 POLOS M12 25M P/ CORTINA DE LUZ"</f>
        <v>CABO C/ CONECTOR RETO 4 POLOS M12 25M P/ CORTINA DE LUZ</v>
      </c>
      <c r="C1505" t="str">
        <f>"51766582"</f>
        <v>51766582</v>
      </c>
      <c r="D1505" s="9"/>
      <c r="E1505" s="14" t="s">
        <v>15</v>
      </c>
    </row>
    <row r="1506" spans="1:5" ht="15.75" x14ac:dyDescent="0.25">
      <c r="A1506" s="5">
        <v>1</v>
      </c>
      <c r="B1506" s="6" t="str">
        <f>"CABO C/ CONECTOR RETO 4 POLOS M12 30M P/ CORTINA DE LUZ"</f>
        <v>CABO C/ CONECTOR RETO 4 POLOS M12 30M P/ CORTINA DE LUZ</v>
      </c>
      <c r="C1506" s="6" t="str">
        <f>"51766583"</f>
        <v>51766583</v>
      </c>
      <c r="D1506" s="10"/>
      <c r="E1506" s="14" t="s">
        <v>15</v>
      </c>
    </row>
    <row r="1507" spans="1:5" ht="15.75" x14ac:dyDescent="0.25">
      <c r="A1507" s="4">
        <v>24</v>
      </c>
      <c r="B1507" t="str">
        <f>"CABO ESPECIAL DE 10 MM2 C/ 125 MM comprimento"</f>
        <v>CABO ESPECIAL DE 10 MM2 C/ 125 MM comprimento</v>
      </c>
      <c r="C1507" t="str">
        <f>"51766600"</f>
        <v>51766600</v>
      </c>
      <c r="D1507" s="9"/>
      <c r="E1507" s="14" t="s">
        <v>15</v>
      </c>
    </row>
    <row r="1508" spans="1:5" ht="15.75" x14ac:dyDescent="0.25">
      <c r="A1508" s="5">
        <v>1</v>
      </c>
      <c r="B1508" s="6" t="str">
        <f>"CABO DE POTÊNCIA RKL0014/009,0 (RLS1101-INK0653-RLS0745)"</f>
        <v>CABO DE POTÊNCIA RKL0014/009,0 (RLS1101-INK0653-RLS0745)</v>
      </c>
      <c r="C1508" s="6" t="str">
        <f>"51766617"</f>
        <v>51766617</v>
      </c>
      <c r="D1508" s="10"/>
      <c r="E1508" s="14" t="s">
        <v>15</v>
      </c>
    </row>
    <row r="1509" spans="1:5" ht="15.75" x14ac:dyDescent="0.25">
      <c r="A1509" s="4">
        <v>1</v>
      </c>
      <c r="B1509" t="str">
        <f>"CABO DE POTÊNCIA RKL0014/009,5 (RLS1101-INK0653-RLS0745)"</f>
        <v>CABO DE POTÊNCIA RKL0014/009,5 (RLS1101-INK0653-RLS0745)</v>
      </c>
      <c r="C1509" t="str">
        <f>"51766618"</f>
        <v>51766618</v>
      </c>
      <c r="D1509" s="9"/>
      <c r="E1509" s="14" t="s">
        <v>15</v>
      </c>
    </row>
    <row r="1510" spans="1:5" ht="15.75" x14ac:dyDescent="0.25">
      <c r="A1510" s="5">
        <v>1</v>
      </c>
      <c r="B1510" s="6" t="str">
        <f>"CABO DE POTÊNCIA RKL0014/010,0 (RLS1101-INK0653-RLS0745)"</f>
        <v>CABO DE POTÊNCIA RKL0014/010,0 (RLS1101-INK0653-RLS0745)</v>
      </c>
      <c r="C1510" s="6" t="str">
        <f>"51766619"</f>
        <v>51766619</v>
      </c>
      <c r="D1510" s="10"/>
      <c r="E1510" s="14" t="s">
        <v>15</v>
      </c>
    </row>
    <row r="1511" spans="1:5" ht="15.75" x14ac:dyDescent="0.25">
      <c r="A1511" s="4">
        <v>4</v>
      </c>
      <c r="B1511" t="str">
        <f>"CABO DE POTÊNCIA RKL0014/010,5 (RLS1101-INK0653-RLS0745)"</f>
        <v>CABO DE POTÊNCIA RKL0014/010,5 (RLS1101-INK0653-RLS0745)</v>
      </c>
      <c r="C1511" t="str">
        <f>"51766620"</f>
        <v>51766620</v>
      </c>
      <c r="D1511" s="9"/>
      <c r="E1511" s="14" t="s">
        <v>15</v>
      </c>
    </row>
    <row r="1512" spans="1:5" ht="15.75" x14ac:dyDescent="0.25">
      <c r="A1512" s="5">
        <v>7</v>
      </c>
      <c r="B1512" s="6" t="str">
        <f>"CABO DE POTÊNCIA RKL0014/011,0 (RLS1101-INK0653-RLS0745)"</f>
        <v>CABO DE POTÊNCIA RKL0014/011,0 (RLS1101-INK0653-RLS0745)</v>
      </c>
      <c r="C1512" s="6" t="str">
        <f>"51766621"</f>
        <v>51766621</v>
      </c>
      <c r="D1512" s="10"/>
      <c r="E1512" s="14" t="s">
        <v>15</v>
      </c>
    </row>
    <row r="1513" spans="1:5" ht="15.75" x14ac:dyDescent="0.25">
      <c r="A1513" s="4">
        <v>2</v>
      </c>
      <c r="B1513" t="str">
        <f>"CABO DE POTÊNCIA RKL0014/011,5 (RLS1101-INK0653-RLS0745)"</f>
        <v>CABO DE POTÊNCIA RKL0014/011,5 (RLS1101-INK0653-RLS0745)</v>
      </c>
      <c r="C1513" t="str">
        <f>"51766622"</f>
        <v>51766622</v>
      </c>
      <c r="D1513" s="9"/>
      <c r="E1513" s="14" t="s">
        <v>15</v>
      </c>
    </row>
    <row r="1514" spans="1:5" ht="15.75" x14ac:dyDescent="0.25">
      <c r="A1514" s="5">
        <v>7</v>
      </c>
      <c r="B1514" s="6" t="str">
        <f>"CABO DE POTÊNCIA RKL0014/012,0 (RLS1101-INK0653-RLS0745)"</f>
        <v>CABO DE POTÊNCIA RKL0014/012,0 (RLS1101-INK0653-RLS0745)</v>
      </c>
      <c r="C1514" s="6" t="str">
        <f>"51766623"</f>
        <v>51766623</v>
      </c>
      <c r="D1514" s="10"/>
      <c r="E1514" s="14" t="s">
        <v>15</v>
      </c>
    </row>
    <row r="1515" spans="1:5" ht="15.75" x14ac:dyDescent="0.25">
      <c r="A1515" s="4">
        <v>3</v>
      </c>
      <c r="B1515" t="str">
        <f>"CABO DE POTÊNCIA RKL0014/013,0 (RLS1101-INK0653-RLS0745)"</f>
        <v>CABO DE POTÊNCIA RKL0014/013,0 (RLS1101-INK0653-RLS0745)</v>
      </c>
      <c r="C1515" t="str">
        <f>"51766624"</f>
        <v>51766624</v>
      </c>
      <c r="D1515" s="9"/>
      <c r="E1515" s="14" t="s">
        <v>15</v>
      </c>
    </row>
    <row r="1516" spans="1:5" ht="15.75" x14ac:dyDescent="0.25">
      <c r="A1516" s="5">
        <v>5</v>
      </c>
      <c r="B1516" s="6" t="str">
        <f>"CABO DE POTÊNCIA RKL0014/012,5 (RLS1101-INK0653-RLS0745)"</f>
        <v>CABO DE POTÊNCIA RKL0014/012,5 (RLS1101-INK0653-RLS0745)</v>
      </c>
      <c r="C1516" s="6" t="str">
        <f>"51766626"</f>
        <v>51766626</v>
      </c>
      <c r="D1516" s="10"/>
      <c r="E1516" s="14" t="s">
        <v>15</v>
      </c>
    </row>
    <row r="1517" spans="1:5" ht="15.75" x14ac:dyDescent="0.25">
      <c r="A1517" s="4">
        <v>3</v>
      </c>
      <c r="B1517" t="str">
        <f>"CABO DE POTÊNCIA RKL0014/014,0 (RLS1101-INK0653-RLS0745)"</f>
        <v>CABO DE POTÊNCIA RKL0014/014,0 (RLS1101-INK0653-RLS0745)</v>
      </c>
      <c r="C1517" t="str">
        <f>"51766627"</f>
        <v>51766627</v>
      </c>
      <c r="D1517" s="9"/>
      <c r="E1517" s="14" t="s">
        <v>15</v>
      </c>
    </row>
    <row r="1518" spans="1:5" ht="15.75" x14ac:dyDescent="0.25">
      <c r="A1518" s="5">
        <v>4</v>
      </c>
      <c r="B1518" s="6" t="str">
        <f>"CABO DE POTÊNCIA RKL0014/014,5 (RLS1101-INK0653-RLS0745)"</f>
        <v>CABO DE POTÊNCIA RKL0014/014,5 (RLS1101-INK0653-RLS0745)</v>
      </c>
      <c r="C1518" s="6" t="str">
        <f>"51766628"</f>
        <v>51766628</v>
      </c>
      <c r="D1518" s="10"/>
      <c r="E1518" s="14" t="s">
        <v>15</v>
      </c>
    </row>
    <row r="1519" spans="1:5" ht="15.75" x14ac:dyDescent="0.25">
      <c r="A1519" s="4">
        <v>2</v>
      </c>
      <c r="B1519" t="str">
        <f>"CABO DE POTÊNCIA RKL0014/015,0 (RLS1101-INK0653-RLS0745)"</f>
        <v>CABO DE POTÊNCIA RKL0014/015,0 (RLS1101-INK0653-RLS0745)</v>
      </c>
      <c r="C1519" t="str">
        <f>"51766629"</f>
        <v>51766629</v>
      </c>
      <c r="D1519" s="9"/>
      <c r="E1519" s="14" t="s">
        <v>15</v>
      </c>
    </row>
    <row r="1520" spans="1:5" ht="15.75" x14ac:dyDescent="0.25">
      <c r="A1520" s="5">
        <v>4</v>
      </c>
      <c r="B1520" s="6" t="str">
        <f>"CABO DE ENCODER  RG2-002AAB-NN-011,5"</f>
        <v>CABO DE ENCODER  RG2-002AAB-NN-011,5</v>
      </c>
      <c r="C1520" s="6" t="str">
        <f>"51766662"</f>
        <v>51766662</v>
      </c>
      <c r="D1520" s="10"/>
      <c r="E1520" s="14" t="s">
        <v>15</v>
      </c>
    </row>
    <row r="1521" spans="1:5" ht="15.75" x14ac:dyDescent="0.25">
      <c r="A1521" s="4">
        <v>2</v>
      </c>
      <c r="B1521" t="str">
        <f>"CABO DE ENCODER  RG2-002AAB-NN-012,5"</f>
        <v>CABO DE ENCODER  RG2-002AAB-NN-012,5</v>
      </c>
      <c r="C1521" t="str">
        <f>"51766663"</f>
        <v>51766663</v>
      </c>
      <c r="D1521" s="9"/>
      <c r="E1521" s="14" t="s">
        <v>15</v>
      </c>
    </row>
    <row r="1522" spans="1:5" ht="15.75" x14ac:dyDescent="0.25">
      <c r="A1522" s="5">
        <v>4</v>
      </c>
      <c r="B1522" s="6" t="str">
        <f>"CABO DE ENCODER  RG2-002AAB-NN-013,5"</f>
        <v>CABO DE ENCODER  RG2-002AAB-NN-013,5</v>
      </c>
      <c r="C1522" s="6" t="str">
        <f>"51766664"</f>
        <v>51766664</v>
      </c>
      <c r="D1522" s="10"/>
      <c r="E1522" s="14" t="s">
        <v>15</v>
      </c>
    </row>
    <row r="1523" spans="1:5" ht="15.75" x14ac:dyDescent="0.25">
      <c r="A1523" s="4">
        <v>2</v>
      </c>
      <c r="B1523" t="str">
        <f>"CABO DE ENCODER  RG2-002AAB-NN-014,5"</f>
        <v>CABO DE ENCODER  RG2-002AAB-NN-014,5</v>
      </c>
      <c r="C1523" t="str">
        <f>"51766665"</f>
        <v>51766665</v>
      </c>
      <c r="D1523" s="9"/>
      <c r="E1523" s="14" t="s">
        <v>15</v>
      </c>
    </row>
    <row r="1524" spans="1:5" ht="15.75" x14ac:dyDescent="0.25">
      <c r="A1524" s="5">
        <v>2</v>
      </c>
      <c r="B1524" s="6" t="str">
        <f>"CABO DE ENCODER  RG2-002AAB-NN-012,0"</f>
        <v>CABO DE ENCODER  RG2-002AAB-NN-012,0</v>
      </c>
      <c r="C1524" s="6" t="str">
        <f>"51766674"</f>
        <v>51766674</v>
      </c>
      <c r="D1524" s="10"/>
      <c r="E1524" s="14" t="s">
        <v>15</v>
      </c>
    </row>
    <row r="1525" spans="1:5" ht="15.75" x14ac:dyDescent="0.25">
      <c r="A1525" s="4">
        <v>2</v>
      </c>
      <c r="B1525" t="str">
        <f>"CABO DE ENCODER  RG2-002AAB-NN-014,0"</f>
        <v>CABO DE ENCODER  RG2-002AAB-NN-014,0</v>
      </c>
      <c r="C1525" t="str">
        <f>"51766675"</f>
        <v>51766675</v>
      </c>
      <c r="D1525" s="9"/>
      <c r="E1525" s="14" t="s">
        <v>15</v>
      </c>
    </row>
    <row r="1526" spans="1:5" ht="15.75" x14ac:dyDescent="0.25">
      <c r="A1526" s="5">
        <v>1</v>
      </c>
      <c r="B1526" s="6" t="str">
        <f>"CABO DE POTENCIA   RL2-022CBB-NN-010,0"</f>
        <v>CABO DE POTENCIA   RL2-022CBB-NN-010,0</v>
      </c>
      <c r="C1526" s="6" t="str">
        <f>"51766679"</f>
        <v>51766679</v>
      </c>
      <c r="D1526" s="10"/>
      <c r="E1526" s="14" t="s">
        <v>15</v>
      </c>
    </row>
    <row r="1527" spans="1:5" ht="15.75" x14ac:dyDescent="0.25">
      <c r="A1527" s="4">
        <v>1</v>
      </c>
      <c r="B1527" t="str">
        <f>"CABO DE POTENCIA  RL2-042EBB-NN-010,0"</f>
        <v>CABO DE POTENCIA  RL2-042EBB-NN-010,0</v>
      </c>
      <c r="C1527" t="str">
        <f>"51766686"</f>
        <v>51766686</v>
      </c>
      <c r="D1527" s="9"/>
      <c r="E1527" s="14" t="s">
        <v>15</v>
      </c>
    </row>
    <row r="1528" spans="1:5" ht="15.75" x14ac:dyDescent="0.25">
      <c r="A1528" s="5">
        <v>1</v>
      </c>
      <c r="B1528" s="6" t="str">
        <f>"CABO DE POTENCIA  RL2-042EBB-NN-012,0"</f>
        <v>CABO DE POTENCIA  RL2-042EBB-NN-012,0</v>
      </c>
      <c r="C1528" s="6" t="str">
        <f>"51766688"</f>
        <v>51766688</v>
      </c>
      <c r="D1528" s="10"/>
      <c r="E1528" s="14" t="s">
        <v>15</v>
      </c>
    </row>
    <row r="1529" spans="1:5" ht="15.75" x14ac:dyDescent="0.25">
      <c r="A1529" s="4">
        <v>2</v>
      </c>
      <c r="B1529" t="str">
        <f>"CABO DE POTENCIA  RL2-042EBB-NN-09,5"</f>
        <v>CABO DE POTENCIA  RL2-042EBB-NN-09,5</v>
      </c>
      <c r="C1529" t="str">
        <f>"51766692"</f>
        <v>51766692</v>
      </c>
      <c r="D1529" s="9"/>
      <c r="E1529" s="14" t="s">
        <v>15</v>
      </c>
    </row>
    <row r="1530" spans="1:5" ht="15.75" x14ac:dyDescent="0.25">
      <c r="A1530" s="5">
        <v>1</v>
      </c>
      <c r="B1530" s="6" t="str">
        <f>"CABO DE POTENCIA  RL2-042EBB-NN-10,5"</f>
        <v>CABO DE POTENCIA  RL2-042EBB-NN-10,5</v>
      </c>
      <c r="C1530" s="6" t="str">
        <f>"51766693"</f>
        <v>51766693</v>
      </c>
      <c r="D1530" s="10"/>
      <c r="E1530" s="14" t="s">
        <v>15</v>
      </c>
    </row>
    <row r="1531" spans="1:5" ht="15.75" x14ac:dyDescent="0.25">
      <c r="A1531" s="4">
        <v>2</v>
      </c>
      <c r="B1531" t="str">
        <f>"CABO DE POTENCIA  RL2-042EBB-NN-11,5"</f>
        <v>CABO DE POTENCIA  RL2-042EBB-NN-11,5</v>
      </c>
      <c r="C1531" t="str">
        <f>"51766694"</f>
        <v>51766694</v>
      </c>
      <c r="D1531" s="9"/>
      <c r="E1531" s="14" t="s">
        <v>15</v>
      </c>
    </row>
    <row r="1532" spans="1:5" ht="15.75" x14ac:dyDescent="0.25">
      <c r="A1532" s="5">
        <v>1</v>
      </c>
      <c r="B1532" s="6" t="str">
        <f>"CABO DE POTENCIA  RL2-042EBB-NN-12,5"</f>
        <v>CABO DE POTENCIA  RL2-042EBB-NN-12,5</v>
      </c>
      <c r="C1532" s="6" t="str">
        <f>"51766695"</f>
        <v>51766695</v>
      </c>
      <c r="D1532" s="10"/>
      <c r="E1532" s="14" t="s">
        <v>15</v>
      </c>
    </row>
    <row r="1533" spans="1:5" ht="15.75" x14ac:dyDescent="0.25">
      <c r="A1533" s="4">
        <v>4</v>
      </c>
      <c r="B1533" t="str">
        <f>"CABO PUR M12 MR + FR 6P 0,3 M REDE CUBE"</f>
        <v>CABO PUR M12 MR + FR 6P 0,3 M REDE CUBE</v>
      </c>
      <c r="C1533" t="str">
        <f>"51766701"</f>
        <v>51766701</v>
      </c>
      <c r="D1533" s="9"/>
      <c r="E1533" s="14" t="s">
        <v>15</v>
      </c>
    </row>
    <row r="1534" spans="1:5" ht="15.75" x14ac:dyDescent="0.25">
      <c r="A1534" s="5">
        <v>1</v>
      </c>
      <c r="B1534" s="6" t="str">
        <f>"CABO PUR M12 MR + FR 6 P 3,5 M REDE CUBE"</f>
        <v>CABO PUR M12 MR + FR 6 P 3,5 M REDE CUBE</v>
      </c>
      <c r="C1534" s="6" t="str">
        <f>"51766709"</f>
        <v>51766709</v>
      </c>
      <c r="D1534" s="10"/>
      <c r="E1534" s="14" t="s">
        <v>15</v>
      </c>
    </row>
    <row r="1535" spans="1:5" ht="15.75" x14ac:dyDescent="0.25">
      <c r="A1535" s="4">
        <v>1</v>
      </c>
      <c r="B1535" t="str">
        <f>"CABO PUR M12 MR + FR 6 P 9 M REDE CUBE"</f>
        <v>CABO PUR M12 MR + FR 6 P 9 M REDE CUBE</v>
      </c>
      <c r="C1535" t="str">
        <f>"51766710"</f>
        <v>51766710</v>
      </c>
      <c r="D1535" s="9"/>
      <c r="E1535" s="14" t="s">
        <v>15</v>
      </c>
    </row>
    <row r="1536" spans="1:5" ht="15.75" x14ac:dyDescent="0.25">
      <c r="A1536" s="5">
        <v>1</v>
      </c>
      <c r="B1536" s="6" t="str">
        <f>"CABO PUR M12 MR + FR 6 P 5 M REDE CUBE"</f>
        <v>CABO PUR M12 MR + FR 6 P 5 M REDE CUBE</v>
      </c>
      <c r="C1536" s="6" t="str">
        <f>"51766711"</f>
        <v>51766711</v>
      </c>
      <c r="D1536" s="10"/>
      <c r="E1536" s="14" t="s">
        <v>15</v>
      </c>
    </row>
    <row r="1537" spans="1:5" ht="15.75" x14ac:dyDescent="0.25">
      <c r="A1537" s="4">
        <v>1</v>
      </c>
      <c r="B1537" t="str">
        <f>"CABO PUR M12 MR + FR 6 P 10 M REDE CUBE"</f>
        <v>CABO PUR M12 MR + FR 6 P 10 M REDE CUBE</v>
      </c>
      <c r="C1537" t="str">
        <f>"51766712"</f>
        <v>51766712</v>
      </c>
      <c r="D1537" s="9"/>
      <c r="E1537" s="14" t="s">
        <v>15</v>
      </c>
    </row>
    <row r="1538" spans="1:5" ht="15.75" x14ac:dyDescent="0.25">
      <c r="A1538" s="5">
        <v>1</v>
      </c>
      <c r="B1538" s="6" t="str">
        <f>"CABO PUR M12 MR + FR 6P  7,5 M REDE CUBE"</f>
        <v>CABO PUR M12 MR + FR 6P  7,5 M REDE CUBE</v>
      </c>
      <c r="C1538" s="6" t="str">
        <f>"51766713"</f>
        <v>51766713</v>
      </c>
      <c r="D1538" s="10"/>
      <c r="E1538" s="14" t="s">
        <v>15</v>
      </c>
    </row>
    <row r="1539" spans="1:5" ht="15.75" x14ac:dyDescent="0.25">
      <c r="A1539" s="4">
        <v>1</v>
      </c>
      <c r="B1539" t="str">
        <f>"CABO PUR M12 MR + FR 6P  13,5 M REDE CUBE"</f>
        <v>CABO PUR M12 MR + FR 6P  13,5 M REDE CUBE</v>
      </c>
      <c r="C1539" t="str">
        <f>"51766724"</f>
        <v>51766724</v>
      </c>
      <c r="D1539" s="9"/>
      <c r="E1539" s="14" t="s">
        <v>15</v>
      </c>
    </row>
    <row r="1540" spans="1:5" ht="15.75" x14ac:dyDescent="0.25">
      <c r="A1540" s="5">
        <v>2</v>
      </c>
      <c r="B1540" s="6" t="str">
        <f>"CABO DE POTENCIA  RL2-022CBB-NN-09,5"</f>
        <v>CABO DE POTENCIA  RL2-022CBB-NN-09,5</v>
      </c>
      <c r="C1540" s="6" t="str">
        <f>"51766882"</f>
        <v>51766882</v>
      </c>
      <c r="D1540" s="10"/>
      <c r="E1540" s="14" t="s">
        <v>15</v>
      </c>
    </row>
    <row r="1541" spans="1:5" ht="15.75" x14ac:dyDescent="0.25">
      <c r="A1541" s="4">
        <v>1</v>
      </c>
      <c r="B1541" t="str">
        <f>"CABO DE POTENCIA  RL2-022CBB-NN-10,5"</f>
        <v>CABO DE POTENCIA  RL2-022CBB-NN-10,5</v>
      </c>
      <c r="C1541" t="str">
        <f>"51766883"</f>
        <v>51766883</v>
      </c>
      <c r="D1541" s="9"/>
      <c r="E1541" s="14" t="s">
        <v>15</v>
      </c>
    </row>
    <row r="1542" spans="1:5" ht="15.75" x14ac:dyDescent="0.25">
      <c r="A1542" s="5">
        <v>2</v>
      </c>
      <c r="B1542" s="6" t="str">
        <f>"CABO DE POTENCIA  RL2-022DBB-NN-11,5"</f>
        <v>CABO DE POTENCIA  RL2-022DBB-NN-11,5</v>
      </c>
      <c r="C1542" s="6" t="str">
        <f>"51766884"</f>
        <v>51766884</v>
      </c>
      <c r="D1542" s="10"/>
      <c r="E1542" s="14" t="s">
        <v>15</v>
      </c>
    </row>
    <row r="1543" spans="1:5" ht="15.75" x14ac:dyDescent="0.25">
      <c r="A1543" s="4">
        <v>1</v>
      </c>
      <c r="B1543" t="str">
        <f>"CABO DE POTENCIA  RL2-022CBB-NN-12,0"</f>
        <v>CABO DE POTENCIA  RL2-022CBB-NN-12,0</v>
      </c>
      <c r="C1543" t="str">
        <f>"51766885"</f>
        <v>51766885</v>
      </c>
      <c r="D1543" s="9"/>
      <c r="E1543" s="14" t="s">
        <v>15</v>
      </c>
    </row>
    <row r="1544" spans="1:5" ht="15.75" x14ac:dyDescent="0.25">
      <c r="A1544" s="5">
        <v>1</v>
      </c>
      <c r="B1544" s="6" t="str">
        <f>"CABO DE POTENCIA  RL2-022CBB-NN-12,5"</f>
        <v>CABO DE POTENCIA  RL2-022CBB-NN-12,5</v>
      </c>
      <c r="C1544" s="6" t="str">
        <f>"51766886"</f>
        <v>51766886</v>
      </c>
      <c r="D1544" s="10"/>
      <c r="E1544" s="14" t="s">
        <v>15</v>
      </c>
    </row>
    <row r="1545" spans="1:5" ht="15.75" x14ac:dyDescent="0.25">
      <c r="A1545" s="4">
        <v>15.5</v>
      </c>
      <c r="B1545" t="str">
        <f>"CABO DE AÇO REVESTIDO EM PVC VERMELHO DE 3,0 MM - RL 15,5m"</f>
        <v>CABO DE AÇO REVESTIDO EM PVC VERMELHO DE 3,0 MM - RL 15,5m</v>
      </c>
      <c r="C1545" t="str">
        <f>"51766950"</f>
        <v>51766950</v>
      </c>
      <c r="D1545" s="9"/>
      <c r="E1545" s="14" t="s">
        <v>15</v>
      </c>
    </row>
    <row r="1546" spans="1:5" ht="15.75" x14ac:dyDescent="0.25">
      <c r="A1546" s="5">
        <v>50</v>
      </c>
      <c r="B1546" s="6" t="str">
        <f>"CABO COAXIAL RGC-6 95  75 OHMS ( ANTENA )"</f>
        <v>CABO COAXIAL RGC-6 95  75 OHMS ( ANTENA )</v>
      </c>
      <c r="C1546" s="6" t="str">
        <f>"51767055"</f>
        <v>51767055</v>
      </c>
      <c r="D1546" s="10"/>
      <c r="E1546" s="14" t="s">
        <v>15</v>
      </c>
    </row>
    <row r="1547" spans="1:5" ht="15.75" x14ac:dyDescent="0.25">
      <c r="A1547" s="4">
        <v>3</v>
      </c>
      <c r="B1547" t="str">
        <f>"CABO SERCOS III 3 m"</f>
        <v>CABO SERCOS III 3 m</v>
      </c>
      <c r="C1547" t="str">
        <f>"51767090"</f>
        <v>51767090</v>
      </c>
      <c r="D1547" s="9"/>
      <c r="E1547" s="14" t="s">
        <v>15</v>
      </c>
    </row>
    <row r="1548" spans="1:5" ht="15.75" x14ac:dyDescent="0.25">
      <c r="A1548" s="5">
        <v>1</v>
      </c>
      <c r="B1548" s="6" t="str">
        <f>"CABO SERCOS III 4 m"</f>
        <v>CABO SERCOS III 4 m</v>
      </c>
      <c r="C1548" s="6" t="str">
        <f>"51767094"</f>
        <v>51767094</v>
      </c>
      <c r="D1548" s="10"/>
      <c r="E1548" s="14" t="s">
        <v>15</v>
      </c>
    </row>
    <row r="1549" spans="1:5" ht="15.75" x14ac:dyDescent="0.25">
      <c r="A1549" s="4">
        <v>40</v>
      </c>
      <c r="B1549" t="str">
        <f>"CABO SERCOS III 0,25 m"</f>
        <v>CABO SERCOS III 0,25 m</v>
      </c>
      <c r="C1549" t="str">
        <f>"51767101"</f>
        <v>51767101</v>
      </c>
      <c r="D1549" s="9"/>
      <c r="E1549" s="14" t="s">
        <v>15</v>
      </c>
    </row>
    <row r="1550" spans="1:5" ht="15.75" x14ac:dyDescent="0.25">
      <c r="A1550" s="5">
        <v>5</v>
      </c>
      <c r="B1550" s="6" t="str">
        <f>"CABO SERCOS III 2,0 m"</f>
        <v>CABO SERCOS III 2,0 m</v>
      </c>
      <c r="C1550" s="6" t="str">
        <f>"51767102"</f>
        <v>51767102</v>
      </c>
      <c r="D1550" s="10"/>
      <c r="E1550" s="14" t="s">
        <v>15</v>
      </c>
    </row>
    <row r="1551" spans="1:5" ht="15.75" x14ac:dyDescent="0.25">
      <c r="A1551" s="4">
        <v>5</v>
      </c>
      <c r="B1551" t="str">
        <f>"CABO BUS RKB0013/002,0 (RBS0016-REB0400-RBS0016)"</f>
        <v>CABO BUS RKB0013/002,0 (RBS0016-REB0400-RBS0016)</v>
      </c>
      <c r="C1551" t="str">
        <f>"51767113"</f>
        <v>51767113</v>
      </c>
      <c r="D1551" s="9"/>
      <c r="E1551" s="14" t="s">
        <v>15</v>
      </c>
    </row>
    <row r="1552" spans="1:5" ht="15.75" x14ac:dyDescent="0.25">
      <c r="A1552" s="5">
        <v>2</v>
      </c>
      <c r="B1552" s="6" t="str">
        <f>"CABO SERCOS III 2,5 m"</f>
        <v>CABO SERCOS III 2,5 m</v>
      </c>
      <c r="C1552" s="6" t="str">
        <f>"51767114"</f>
        <v>51767114</v>
      </c>
      <c r="D1552" s="10"/>
      <c r="E1552" s="14" t="s">
        <v>15</v>
      </c>
    </row>
    <row r="1553" spans="1:5" ht="15.75" x14ac:dyDescent="0.25">
      <c r="A1553" s="4">
        <v>2</v>
      </c>
      <c r="B1553" t="str">
        <f>"CABO DE REDE PROFINET M12 - RJ45  15M"</f>
        <v>CABO DE REDE PROFINET M12 - RJ45  15M</v>
      </c>
      <c r="C1553" t="str">
        <f>"51767121"</f>
        <v>51767121</v>
      </c>
      <c r="D1553" s="9"/>
      <c r="E1553" s="14" t="s">
        <v>15</v>
      </c>
    </row>
    <row r="1554" spans="1:5" ht="15.75" x14ac:dyDescent="0.25">
      <c r="A1554" s="5">
        <v>2</v>
      </c>
      <c r="B1554" s="6" t="str">
        <f>"CABO DE REDE PROFINET M12 - M12  2M"</f>
        <v>CABO DE REDE PROFINET M12 - M12  2M</v>
      </c>
      <c r="C1554" s="6" t="str">
        <f>"51767130"</f>
        <v>51767130</v>
      </c>
      <c r="D1554" s="10"/>
      <c r="E1554" s="14" t="s">
        <v>15</v>
      </c>
    </row>
    <row r="1555" spans="1:5" ht="15.75" x14ac:dyDescent="0.25">
      <c r="A1555" s="4">
        <v>8</v>
      </c>
      <c r="B1555" t="str">
        <f>"CABO DE ZONA DE SEGURANÇA - 0,25"</f>
        <v>CABO DE ZONA DE SEGURANÇA - 0,25</v>
      </c>
      <c r="C1555" t="str">
        <f>"51767140"</f>
        <v>51767140</v>
      </c>
      <c r="D1555" s="9"/>
      <c r="E1555" s="14" t="s">
        <v>15</v>
      </c>
    </row>
    <row r="1556" spans="1:5" ht="15.75" x14ac:dyDescent="0.25">
      <c r="A1556" s="5">
        <v>8</v>
      </c>
      <c r="B1556" s="6" t="str">
        <f>"CABO DE ZONA DE SEGURANÇA - 0,35"</f>
        <v>CABO DE ZONA DE SEGURANÇA - 0,35</v>
      </c>
      <c r="C1556" s="6" t="str">
        <f>"51767141"</f>
        <v>51767141</v>
      </c>
      <c r="D1556" s="10"/>
      <c r="E1556" s="14" t="s">
        <v>15</v>
      </c>
    </row>
    <row r="1557" spans="1:5" ht="15.75" x14ac:dyDescent="0.25">
      <c r="A1557" s="4">
        <v>2</v>
      </c>
      <c r="B1557" t="str">
        <f>"CABO DE ZONA DE SEGURANÇA - 5,00"</f>
        <v>CABO DE ZONA DE SEGURANÇA - 5,00</v>
      </c>
      <c r="C1557" t="str">
        <f>"51767148"</f>
        <v>51767148</v>
      </c>
      <c r="D1557" s="9"/>
      <c r="E1557" s="14" t="s">
        <v>15</v>
      </c>
    </row>
    <row r="1558" spans="1:5" ht="15.75" x14ac:dyDescent="0.25">
      <c r="A1558" s="5">
        <v>5</v>
      </c>
      <c r="B1558" s="6" t="str">
        <f>"CABO DE REDE ETHERNET RJ45 + RJ45  1,5M"</f>
        <v>CABO DE REDE ETHERNET RJ45 + RJ45  1,5M</v>
      </c>
      <c r="C1558" s="6" t="str">
        <f>"51767151"</f>
        <v>51767151</v>
      </c>
      <c r="D1558" s="10"/>
      <c r="E1558" s="14" t="s">
        <v>15</v>
      </c>
    </row>
    <row r="1559" spans="1:5" ht="15.75" x14ac:dyDescent="0.25">
      <c r="A1559" s="4">
        <v>2</v>
      </c>
      <c r="B1559" t="str">
        <f>"CABO DE REDE ETHERNET RJ45 + RJ45  2M"</f>
        <v>CABO DE REDE ETHERNET RJ45 + RJ45  2M</v>
      </c>
      <c r="C1559" t="str">
        <f>"51767152"</f>
        <v>51767152</v>
      </c>
      <c r="D1559" s="9"/>
      <c r="E1559" s="14" t="s">
        <v>15</v>
      </c>
    </row>
    <row r="1560" spans="1:5" ht="15.75" x14ac:dyDescent="0.25">
      <c r="A1560" s="5">
        <v>4</v>
      </c>
      <c r="B1560" s="6" t="str">
        <f>"CABO DE REDE ETHERNET RJ45 + RJ45  7,5M"</f>
        <v>CABO DE REDE ETHERNET RJ45 + RJ45  7,5M</v>
      </c>
      <c r="C1560" s="6" t="str">
        <f>"51767156"</f>
        <v>51767156</v>
      </c>
      <c r="D1560" s="10"/>
      <c r="E1560" s="14" t="s">
        <v>15</v>
      </c>
    </row>
    <row r="1561" spans="1:5" ht="15.75" x14ac:dyDescent="0.25">
      <c r="A1561" s="4">
        <v>1</v>
      </c>
      <c r="B1561" t="str">
        <f>"CABO DE REDE ETHERNET RJ45 + RJ45  20M"</f>
        <v>CABO DE REDE ETHERNET RJ45 + RJ45  20M</v>
      </c>
      <c r="C1561" t="str">
        <f>"51767182"</f>
        <v>51767182</v>
      </c>
      <c r="D1561" s="9"/>
      <c r="E1561" s="14" t="s">
        <v>15</v>
      </c>
    </row>
    <row r="1562" spans="1:5" ht="15.75" x14ac:dyDescent="0.25">
      <c r="A1562" s="5">
        <v>2</v>
      </c>
      <c r="B1562" s="6" t="str">
        <f>"CABO DE SOCKET M12 4 PINOS BLINDADO 15 m"</f>
        <v>CABO DE SOCKET M12 4 PINOS BLINDADO 15 m</v>
      </c>
      <c r="C1562" s="6" t="str">
        <f>"51767411"</f>
        <v>51767411</v>
      </c>
      <c r="D1562" s="10"/>
      <c r="E1562" s="14" t="s">
        <v>15</v>
      </c>
    </row>
    <row r="1563" spans="1:5" ht="15.75" x14ac:dyDescent="0.25">
      <c r="A1563" s="4">
        <v>2</v>
      </c>
      <c r="B1563" t="str">
        <f>"CABO DE SOCKET M12 4 PINOS BLINDADO 25 m"</f>
        <v>CABO DE SOCKET M12 4 PINOS BLINDADO 25 m</v>
      </c>
      <c r="C1563" t="str">
        <f>"51767412"</f>
        <v>51767412</v>
      </c>
      <c r="D1563" s="9"/>
      <c r="E1563" s="14" t="s">
        <v>15</v>
      </c>
    </row>
    <row r="1564" spans="1:5" ht="15.75" x14ac:dyDescent="0.25">
      <c r="A1564" s="5">
        <v>1</v>
      </c>
      <c r="B1564" s="6" t="str">
        <f>"CABO DE SOCKET M12 5 PINOS BLINDADO 20 m"</f>
        <v>CABO DE SOCKET M12 5 PINOS BLINDADO 20 m</v>
      </c>
      <c r="C1564" s="6" t="str">
        <f>"51767414"</f>
        <v>51767414</v>
      </c>
      <c r="D1564" s="10"/>
      <c r="E1564" s="14" t="s">
        <v>15</v>
      </c>
    </row>
    <row r="1565" spans="1:5" ht="15.75" x14ac:dyDescent="0.25">
      <c r="A1565" s="4">
        <v>2</v>
      </c>
      <c r="B1565" t="str">
        <f>"CABO DE SOCKET M12 5 PINOS BLINDADO 30 m"</f>
        <v>CABO DE SOCKET M12 5 PINOS BLINDADO 30 m</v>
      </c>
      <c r="C1565" t="str">
        <f>"51767420"</f>
        <v>51767420</v>
      </c>
      <c r="D1565" s="9"/>
      <c r="E1565" s="14" t="s">
        <v>15</v>
      </c>
    </row>
    <row r="1566" spans="1:5" ht="15.75" x14ac:dyDescent="0.25">
      <c r="A1566" s="5">
        <v>32</v>
      </c>
      <c r="B1566" s="6" t="str">
        <f>"CABO INJETADO M12 FÊMEA RETO + M12 MACHO RETO 2 M"</f>
        <v>CABO INJETADO M12 FÊMEA RETO + M12 MACHO RETO 2 M</v>
      </c>
      <c r="C1566" s="6" t="str">
        <f>"51768022"</f>
        <v>51768022</v>
      </c>
      <c r="D1566" s="10"/>
      <c r="E1566" s="14" t="s">
        <v>15</v>
      </c>
    </row>
    <row r="1567" spans="1:5" ht="15.75" x14ac:dyDescent="0.25">
      <c r="A1567" s="4">
        <v>1</v>
      </c>
      <c r="B1567" t="str">
        <f>"Cabo M12 Fêmea Reto + M12 Macho Reto 4 M"</f>
        <v>Cabo M12 Fêmea Reto + M12 Macho Reto 4 M</v>
      </c>
      <c r="C1567" t="str">
        <f>"51768026"</f>
        <v>51768026</v>
      </c>
      <c r="D1567" s="9"/>
      <c r="E1567" s="14" t="s">
        <v>15</v>
      </c>
    </row>
    <row r="1568" spans="1:5" ht="15.75" x14ac:dyDescent="0.25">
      <c r="A1568" s="5">
        <v>1</v>
      </c>
      <c r="B1568" s="6" t="str">
        <f>"Cabo M12 Fêmea Reto + M12 Macho Reto 5,00 M"</f>
        <v>Cabo M12 Fêmea Reto + M12 Macho Reto 5,00 M</v>
      </c>
      <c r="C1568" s="6" t="str">
        <f>"51768028"</f>
        <v>51768028</v>
      </c>
      <c r="D1568" s="10"/>
      <c r="E1568" s="14" t="s">
        <v>15</v>
      </c>
    </row>
    <row r="1569" spans="1:5" ht="15.75" x14ac:dyDescent="0.25">
      <c r="A1569" s="4">
        <v>1</v>
      </c>
      <c r="B1569" t="str">
        <f>"Cabo M12 Fêmea Reto + M12 Macho Reto 6,00 M"</f>
        <v>Cabo M12 Fêmea Reto + M12 Macho Reto 6,00 M</v>
      </c>
      <c r="C1569" t="str">
        <f>"51768030"</f>
        <v>51768030</v>
      </c>
      <c r="D1569" s="9"/>
      <c r="E1569" s="14" t="s">
        <v>15</v>
      </c>
    </row>
    <row r="1570" spans="1:5" ht="15.75" x14ac:dyDescent="0.25">
      <c r="A1570" s="5">
        <v>1</v>
      </c>
      <c r="B1570" s="6" t="str">
        <f>"Cabo M12 Fêmea Reto + M12 Macho Reto 7,00 M"</f>
        <v>Cabo M12 Fêmea Reto + M12 Macho Reto 7,00 M</v>
      </c>
      <c r="C1570" s="6" t="str">
        <f>"51768032"</f>
        <v>51768032</v>
      </c>
      <c r="D1570" s="10"/>
      <c r="E1570" s="14" t="s">
        <v>15</v>
      </c>
    </row>
    <row r="1571" spans="1:5" ht="15.75" x14ac:dyDescent="0.25">
      <c r="A1571" s="4">
        <v>3</v>
      </c>
      <c r="B1571" t="str">
        <f>"Cabo M12 Macho Reto + M12 Fêmea 90º 2,00 M"</f>
        <v>Cabo M12 Macho Reto + M12 Fêmea 90º 2,00 M</v>
      </c>
      <c r="C1571" t="str">
        <f>"51768052"</f>
        <v>51768052</v>
      </c>
      <c r="D1571" s="9"/>
      <c r="E1571" s="14" t="s">
        <v>15</v>
      </c>
    </row>
    <row r="1572" spans="1:5" ht="15.75" x14ac:dyDescent="0.25">
      <c r="A1572" s="5">
        <v>2</v>
      </c>
      <c r="B1572" s="6" t="str">
        <f>"Cabo M12 Macho Reto + M12 Fêmea 90º 3,00 M"</f>
        <v>Cabo M12 Macho Reto + M12 Fêmea 90º 3,00 M</v>
      </c>
      <c r="C1572" s="6" t="str">
        <f>"51768054"</f>
        <v>51768054</v>
      </c>
      <c r="D1572" s="10"/>
      <c r="E1572" s="14" t="s">
        <v>15</v>
      </c>
    </row>
    <row r="1573" spans="1:5" ht="15.75" x14ac:dyDescent="0.25">
      <c r="A1573" s="4">
        <v>5</v>
      </c>
      <c r="B1573" t="str">
        <f>"Cabo M12 Macho Reto + M12 Fêmea 90º 3,50 M"</f>
        <v>Cabo M12 Macho Reto + M12 Fêmea 90º 3,50 M</v>
      </c>
      <c r="C1573" t="str">
        <f>"51768055"</f>
        <v>51768055</v>
      </c>
      <c r="D1573" s="9"/>
      <c r="E1573" s="14" t="s">
        <v>15</v>
      </c>
    </row>
    <row r="1574" spans="1:5" ht="15.75" x14ac:dyDescent="0.25">
      <c r="A1574" s="5">
        <v>1</v>
      </c>
      <c r="B1574" s="6" t="str">
        <f>"Cabo M12 Macho Reto + M12 Fêmea 90º 4,00 M"</f>
        <v>Cabo M12 Macho Reto + M12 Fêmea 90º 4,00 M</v>
      </c>
      <c r="C1574" s="6" t="str">
        <f>"51768056"</f>
        <v>51768056</v>
      </c>
      <c r="D1574" s="10"/>
      <c r="E1574" s="14" t="s">
        <v>15</v>
      </c>
    </row>
    <row r="1575" spans="1:5" ht="15.75" x14ac:dyDescent="0.25">
      <c r="A1575" s="4">
        <v>2</v>
      </c>
      <c r="B1575" t="str">
        <f>"Cabo M12 Macho Reto + M12 Fêmea 90º 5,00 M"</f>
        <v>Cabo M12 Macho Reto + M12 Fêmea 90º 5,00 M</v>
      </c>
      <c r="C1575" t="str">
        <f>"51768058"</f>
        <v>51768058</v>
      </c>
      <c r="D1575" s="9"/>
      <c r="E1575" s="14" t="s">
        <v>15</v>
      </c>
    </row>
    <row r="1576" spans="1:5" ht="15.75" x14ac:dyDescent="0.25">
      <c r="A1576" s="5">
        <v>2</v>
      </c>
      <c r="B1576" s="6" t="str">
        <f>"Cabo M12 Macho Reto + M12 Fêmea 90º 6,00 M"</f>
        <v>Cabo M12 Macho Reto + M12 Fêmea 90º 6,00 M</v>
      </c>
      <c r="C1576" s="6" t="str">
        <f>"51768060"</f>
        <v>51768060</v>
      </c>
      <c r="D1576" s="10"/>
      <c r="E1576" s="14" t="s">
        <v>15</v>
      </c>
    </row>
    <row r="1577" spans="1:5" ht="15.75" x14ac:dyDescent="0.25">
      <c r="A1577" s="4">
        <v>1</v>
      </c>
      <c r="B1577" t="str">
        <f>"Cabo M12 Macho Reto + M12 Fêmea 90º 7,50 M"</f>
        <v>Cabo M12 Macho Reto + M12 Fêmea 90º 7,50 M</v>
      </c>
      <c r="C1577" t="str">
        <f>"51768063"</f>
        <v>51768063</v>
      </c>
      <c r="D1577" s="9"/>
      <c r="E1577" s="14" t="s">
        <v>15</v>
      </c>
    </row>
    <row r="1578" spans="1:5" ht="15.75" x14ac:dyDescent="0.25">
      <c r="A1578" s="5">
        <v>2</v>
      </c>
      <c r="B1578" s="6" t="str">
        <f>"Cabo M12 Macho Reto + M12 Fêmea 90º 8,00 M"</f>
        <v>Cabo M12 Macho Reto + M12 Fêmea 90º 8,00 M</v>
      </c>
      <c r="C1578" s="6" t="str">
        <f>"51768064"</f>
        <v>51768064</v>
      </c>
      <c r="D1578" s="10"/>
      <c r="E1578" s="14" t="s">
        <v>15</v>
      </c>
    </row>
    <row r="1579" spans="1:5" ht="15.75" x14ac:dyDescent="0.25">
      <c r="A1579" s="4">
        <v>1</v>
      </c>
      <c r="B1579" t="str">
        <f>"Cabo M12 Macho Reto + M12 Fêmea 90º 8,50 M"</f>
        <v>Cabo M12 Macho Reto + M12 Fêmea 90º 8,50 M</v>
      </c>
      <c r="C1579" t="str">
        <f>"51768065"</f>
        <v>51768065</v>
      </c>
      <c r="D1579" s="9"/>
      <c r="E1579" s="14" t="s">
        <v>15</v>
      </c>
    </row>
    <row r="1580" spans="1:5" ht="15.75" x14ac:dyDescent="0.25">
      <c r="A1580" s="5">
        <v>2</v>
      </c>
      <c r="B1580" s="6" t="str">
        <f>"Cabo M12 Macho Reto + M12 Fêmea 90º 11,00 M"</f>
        <v>Cabo M12 Macho Reto + M12 Fêmea 90º 11,00 M</v>
      </c>
      <c r="C1580" s="6" t="str">
        <f>"51768070"</f>
        <v>51768070</v>
      </c>
      <c r="D1580" s="10"/>
      <c r="E1580" s="14" t="s">
        <v>15</v>
      </c>
    </row>
    <row r="1581" spans="1:5" ht="15.75" x14ac:dyDescent="0.25">
      <c r="A1581" s="4">
        <v>4</v>
      </c>
      <c r="B1581" t="str">
        <f>"Cabo M12 macho reto + M8 fêmea reto 3P 1,5 M"</f>
        <v>Cabo M12 macho reto + M8 fêmea reto 3P 1,5 M</v>
      </c>
      <c r="C1581" t="str">
        <f>"51768081"</f>
        <v>51768081</v>
      </c>
      <c r="D1581" s="9"/>
      <c r="E1581" s="14" t="s">
        <v>15</v>
      </c>
    </row>
    <row r="1582" spans="1:5" ht="15.75" x14ac:dyDescent="0.25">
      <c r="A1582" s="5">
        <v>16</v>
      </c>
      <c r="B1582" s="6" t="str">
        <f>"Cabo M12 Macho Reto + Fêmea Reto 5P 0,6M"</f>
        <v>Cabo M12 Macho Reto + Fêmea Reto 5P 0,6M</v>
      </c>
      <c r="C1582" s="6" t="str">
        <f>"51768089"</f>
        <v>51768089</v>
      </c>
      <c r="D1582" s="10"/>
      <c r="E1582" s="14" t="s">
        <v>15</v>
      </c>
    </row>
    <row r="1583" spans="1:5" ht="15.75" x14ac:dyDescent="0.25">
      <c r="A1583" s="4">
        <v>16</v>
      </c>
      <c r="B1583" t="str">
        <f>"Cabo M12 Macho Reto + Fêmea Reto 5P 1,50M"</f>
        <v>Cabo M12 Macho Reto + Fêmea Reto 5P 1,50M</v>
      </c>
      <c r="C1583" t="str">
        <f>"51768091"</f>
        <v>51768091</v>
      </c>
      <c r="D1583" s="9"/>
      <c r="E1583" s="14" t="s">
        <v>15</v>
      </c>
    </row>
    <row r="1584" spans="1:5" ht="15.75" x14ac:dyDescent="0.25">
      <c r="A1584" s="5">
        <v>4</v>
      </c>
      <c r="B1584" s="6" t="str">
        <f>"Cabo M12 Macho Reto + Fêmea Reto 5P 2,00M"</f>
        <v>Cabo M12 Macho Reto + Fêmea Reto 5P 2,00M</v>
      </c>
      <c r="C1584" s="6" t="str">
        <f>"51768092"</f>
        <v>51768092</v>
      </c>
      <c r="D1584" s="10"/>
      <c r="E1584" s="14" t="s">
        <v>15</v>
      </c>
    </row>
    <row r="1585" spans="1:5" ht="15.75" x14ac:dyDescent="0.25">
      <c r="A1585" s="4">
        <v>15</v>
      </c>
      <c r="B1585" t="str">
        <f>"Cabo M12 Macho Reto + Fêmea Reto 5P 2,50M"</f>
        <v>Cabo M12 Macho Reto + Fêmea Reto 5P 2,50M</v>
      </c>
      <c r="C1585" t="str">
        <f>"51768093"</f>
        <v>51768093</v>
      </c>
      <c r="D1585" s="9"/>
      <c r="E1585" s="14" t="s">
        <v>15</v>
      </c>
    </row>
    <row r="1586" spans="1:5" ht="15.75" x14ac:dyDescent="0.25">
      <c r="A1586" s="5">
        <v>2</v>
      </c>
      <c r="B1586" s="6" t="str">
        <f>"Cabo M12 Macho Reto + Fêmea Reto 5P 3,50M"</f>
        <v>Cabo M12 Macho Reto + Fêmea Reto 5P 3,50M</v>
      </c>
      <c r="C1586" s="6" t="str">
        <f>"51768095"</f>
        <v>51768095</v>
      </c>
      <c r="D1586" s="10"/>
      <c r="E1586" s="14" t="s">
        <v>15</v>
      </c>
    </row>
    <row r="1587" spans="1:5" ht="15.75" x14ac:dyDescent="0.25">
      <c r="A1587" s="4">
        <v>8</v>
      </c>
      <c r="B1587" t="str">
        <f>"Cabo M12 Macho Reto + Fêmea Reto 5P 5,00M"</f>
        <v>Cabo M12 Macho Reto + Fêmea Reto 5P 5,00M</v>
      </c>
      <c r="C1587" t="str">
        <f>"51768098"</f>
        <v>51768098</v>
      </c>
      <c r="D1587" s="9"/>
      <c r="E1587" s="14" t="s">
        <v>15</v>
      </c>
    </row>
    <row r="1588" spans="1:5" ht="15.75" x14ac:dyDescent="0.25">
      <c r="A1588" s="5">
        <v>9</v>
      </c>
      <c r="B1588" s="6" t="str">
        <f>"Cabo M12 Macho Reto + Fêmea Reto 5P 6,50M"</f>
        <v>Cabo M12 Macho Reto + Fêmea Reto 5P 6,50M</v>
      </c>
      <c r="C1588" s="6" t="str">
        <f>"51768101"</f>
        <v>51768101</v>
      </c>
      <c r="D1588" s="10"/>
      <c r="E1588" s="14" t="s">
        <v>15</v>
      </c>
    </row>
    <row r="1589" spans="1:5" ht="15.75" x14ac:dyDescent="0.25">
      <c r="A1589" s="4">
        <v>4</v>
      </c>
      <c r="B1589" t="str">
        <f>"Cabo M12 macho reto + Extrimidade livre 2,50 m"</f>
        <v>Cabo M12 macho reto + Extrimidade livre 2,50 m</v>
      </c>
      <c r="C1589" t="str">
        <f>"51768143"</f>
        <v>51768143</v>
      </c>
      <c r="D1589" s="9"/>
      <c r="E1589" s="14" t="s">
        <v>15</v>
      </c>
    </row>
    <row r="1590" spans="1:5" ht="15.75" x14ac:dyDescent="0.25">
      <c r="A1590" s="5">
        <v>7</v>
      </c>
      <c r="B1590" s="6" t="str">
        <f>"Cabo M12 macho reto + Extrimidade livre 4,00 m"</f>
        <v>Cabo M12 macho reto + Extrimidade livre 4,00 m</v>
      </c>
      <c r="C1590" s="6" t="str">
        <f>"51768146"</f>
        <v>51768146</v>
      </c>
      <c r="D1590" s="10"/>
      <c r="E1590" s="14" t="s">
        <v>15</v>
      </c>
    </row>
    <row r="1591" spans="1:5" ht="15.75" x14ac:dyDescent="0.25">
      <c r="A1591" s="4">
        <v>1</v>
      </c>
      <c r="B1591" t="str">
        <f>"Cabo M12 Femea 90º + Extremidade Livre 1,5 m"</f>
        <v>Cabo M12 Femea 90º + Extremidade Livre 1,5 m</v>
      </c>
      <c r="C1591" t="str">
        <f>"51768171"</f>
        <v>51768171</v>
      </c>
      <c r="D1591" s="9"/>
      <c r="E1591" s="14" t="s">
        <v>15</v>
      </c>
    </row>
    <row r="1592" spans="1:5" ht="15.75" x14ac:dyDescent="0.25">
      <c r="A1592" s="5">
        <v>1</v>
      </c>
      <c r="B1592" s="6" t="str">
        <f>"Cabo M12 Femea 90º + Extremidade Livre 5,00 m"</f>
        <v>Cabo M12 Femea 90º + Extremidade Livre 5,00 m</v>
      </c>
      <c r="C1592" s="6" t="str">
        <f>"51768178"</f>
        <v>51768178</v>
      </c>
      <c r="D1592" s="10"/>
      <c r="E1592" s="14" t="s">
        <v>15</v>
      </c>
    </row>
    <row r="1593" spans="1:5" ht="15.75" x14ac:dyDescent="0.25">
      <c r="A1593" s="4">
        <v>2</v>
      </c>
      <c r="B1593" t="str">
        <f>"Cabo M12 Fêmea Reto + Extremidade Livre 2,00 M"</f>
        <v>Cabo M12 Fêmea Reto + Extremidade Livre 2,00 M</v>
      </c>
      <c r="C1593" t="str">
        <f>"51768202"</f>
        <v>51768202</v>
      </c>
      <c r="D1593" s="9"/>
      <c r="E1593" s="14" t="s">
        <v>15</v>
      </c>
    </row>
    <row r="1594" spans="1:5" ht="15.75" x14ac:dyDescent="0.25">
      <c r="A1594" s="5">
        <v>3</v>
      </c>
      <c r="B1594" s="6" t="str">
        <f>"Cabo M12 Fêmea Reto + Extremidade Livre 3,00 M"</f>
        <v>Cabo M12 Fêmea Reto + Extremidade Livre 3,00 M</v>
      </c>
      <c r="C1594" s="6" t="str">
        <f>"51768204"</f>
        <v>51768204</v>
      </c>
      <c r="D1594" s="10"/>
      <c r="E1594" s="14" t="s">
        <v>15</v>
      </c>
    </row>
    <row r="1595" spans="1:5" ht="15.75" x14ac:dyDescent="0.25">
      <c r="A1595" s="4">
        <v>2</v>
      </c>
      <c r="B1595" t="str">
        <f>"Cabo M12 Fêmea Reto + Extremidade Livre 4,00 M"</f>
        <v>Cabo M12 Fêmea Reto + Extremidade Livre 4,00 M</v>
      </c>
      <c r="C1595" t="str">
        <f>"51768206"</f>
        <v>51768206</v>
      </c>
      <c r="D1595" s="9"/>
      <c r="E1595" s="14" t="s">
        <v>15</v>
      </c>
    </row>
    <row r="1596" spans="1:5" ht="15.75" x14ac:dyDescent="0.25">
      <c r="A1596" s="5">
        <v>2</v>
      </c>
      <c r="B1596" s="6" t="str">
        <f>"Cabo M12 Fêmea 4P Reto + Extremidade Livre 5,00 M"</f>
        <v>Cabo M12 Fêmea 4P Reto + Extremidade Livre 5,00 M</v>
      </c>
      <c r="C1596" s="6" t="str">
        <f>"51768208"</f>
        <v>51768208</v>
      </c>
      <c r="D1596" s="10"/>
      <c r="E1596" s="14" t="s">
        <v>15</v>
      </c>
    </row>
    <row r="1597" spans="1:5" ht="15.75" x14ac:dyDescent="0.25">
      <c r="A1597" s="4">
        <v>1</v>
      </c>
      <c r="B1597" t="str">
        <f>"Cabo M12 Fêmea 4P Reto + Extremidade Livre 15,00 M"</f>
        <v>Cabo M12 Fêmea 4P Reto + Extremidade Livre 15,00 M</v>
      </c>
      <c r="C1597" t="str">
        <f>"51768210"</f>
        <v>51768210</v>
      </c>
      <c r="D1597" s="9"/>
      <c r="E1597" s="14" t="s">
        <v>15</v>
      </c>
    </row>
    <row r="1598" spans="1:5" ht="15.75" x14ac:dyDescent="0.25">
      <c r="A1598" s="5">
        <v>4</v>
      </c>
      <c r="B1598" s="6" t="str">
        <f>"Cabo M12 Macho 4P Reto + Extremidade Livre 2,00 M"</f>
        <v>Cabo M12 Macho 4P Reto + Extremidade Livre 2,00 M</v>
      </c>
      <c r="C1598" s="6" t="str">
        <f>"51768232"</f>
        <v>51768232</v>
      </c>
      <c r="D1598" s="10"/>
      <c r="E1598" s="14" t="s">
        <v>15</v>
      </c>
    </row>
    <row r="1599" spans="1:5" ht="15.75" x14ac:dyDescent="0.25">
      <c r="A1599" s="4">
        <v>1</v>
      </c>
      <c r="B1599" t="str">
        <f>"CABO C/ CONECTOR - SERIE ISE"</f>
        <v>CABO C/ CONECTOR - SERIE ISE</v>
      </c>
      <c r="C1599" t="str">
        <f>"51768815"</f>
        <v>51768815</v>
      </c>
      <c r="D1599" s="9"/>
      <c r="E1599" s="14" t="s">
        <v>15</v>
      </c>
    </row>
    <row r="1600" spans="1:5" ht="15.75" x14ac:dyDescent="0.25">
      <c r="A1600" s="5">
        <v>4</v>
      </c>
      <c r="B1600" s="6" t="str">
        <f>"CAIXA PLASTICA - 154 X 110 X 70 MM"</f>
        <v>CAIXA PLASTICA - 154 X 110 X 70 MM</v>
      </c>
      <c r="C1600" s="6" t="str">
        <f>"51780002"</f>
        <v>51780002</v>
      </c>
      <c r="D1600" s="10"/>
      <c r="E1600" s="14" t="s">
        <v>15</v>
      </c>
    </row>
    <row r="1601" spans="1:5" ht="15.75" x14ac:dyDescent="0.25">
      <c r="A1601" s="4">
        <v>1</v>
      </c>
      <c r="B1601" t="str">
        <f>"CAIXA PLASTICA 2 300X220X120 S/ EMBUT COR BRANCA"</f>
        <v>CAIXA PLASTICA 2 300X220X120 S/ EMBUT COR BRANCA</v>
      </c>
      <c r="C1601" t="str">
        <f>"51780003"</f>
        <v>51780003</v>
      </c>
      <c r="D1601" s="9"/>
      <c r="E1601" s="14" t="s">
        <v>15</v>
      </c>
    </row>
    <row r="1602" spans="1:5" ht="15.75" x14ac:dyDescent="0.25">
      <c r="A1602" s="5">
        <v>1</v>
      </c>
      <c r="B1602" s="6" t="str">
        <f>"CAIXA PLASTICA BRANCA C/ 1 FURO DE 22 MM"</f>
        <v>CAIXA PLASTICA BRANCA C/ 1 FURO DE 22 MM</v>
      </c>
      <c r="C1602" s="6" t="str">
        <f>"51780006"</f>
        <v>51780006</v>
      </c>
      <c r="D1602" s="10"/>
      <c r="E1602" s="14" t="s">
        <v>15</v>
      </c>
    </row>
    <row r="1603" spans="1:5" ht="15.75" x14ac:dyDescent="0.25">
      <c r="A1603" s="4">
        <v>5</v>
      </c>
      <c r="B1603" t="str">
        <f>"CAIXA PLASTICA C/ 1 FURO DE 22 MM C/ TAMPA AMARELA"</f>
        <v>CAIXA PLASTICA C/ 1 FURO DE 22 MM C/ TAMPA AMARELA</v>
      </c>
      <c r="C1603" t="str">
        <f>"51780007"</f>
        <v>51780007</v>
      </c>
      <c r="D1603" s="9"/>
      <c r="E1603" s="14" t="s">
        <v>15</v>
      </c>
    </row>
    <row r="1604" spans="1:5" ht="15.75" x14ac:dyDescent="0.25">
      <c r="A1604" s="5">
        <v>2</v>
      </c>
      <c r="B1604" s="6" t="str">
        <f>"CAIXA DE PASSAGEM ALUMINIO 3/4'  NPT EXD"</f>
        <v>CAIXA DE PASSAGEM ALUMINIO 3/4'  NPT EXD</v>
      </c>
      <c r="C1604" s="6" t="str">
        <f>"51780202"</f>
        <v>51780202</v>
      </c>
      <c r="D1604" s="10"/>
      <c r="E1604" s="14" t="s">
        <v>15</v>
      </c>
    </row>
    <row r="1605" spans="1:5" ht="15.75" x14ac:dyDescent="0.25">
      <c r="A1605" s="4">
        <v>52</v>
      </c>
      <c r="B1605" t="str">
        <f>"CAnaleta  80 X 80 mm RECORTE ABERTO - CINZA"</f>
        <v>CAnaleta  80 X 80 mm RECORTE ABERTO - CINZA</v>
      </c>
      <c r="C1605" t="str">
        <f>"51900001"</f>
        <v>51900001</v>
      </c>
      <c r="D1605" s="9"/>
      <c r="E1605" s="14" t="s">
        <v>15</v>
      </c>
    </row>
    <row r="1606" spans="1:5" ht="15.75" x14ac:dyDescent="0.25">
      <c r="A1606" s="5">
        <v>6</v>
      </c>
      <c r="B1606" s="6" t="str">
        <f>"Canaleta 30 X 80 mm - RECORTE ABERTO - CINZA"</f>
        <v>Canaleta 30 X 80 mm - RECORTE ABERTO - CINZA</v>
      </c>
      <c r="C1606" s="6" t="str">
        <f>"51900002"</f>
        <v>51900002</v>
      </c>
      <c r="D1606" s="10"/>
      <c r="E1606" s="14" t="s">
        <v>15</v>
      </c>
    </row>
    <row r="1607" spans="1:5" ht="15.75" x14ac:dyDescent="0.25">
      <c r="A1607" s="4">
        <v>20</v>
      </c>
      <c r="B1607" t="str">
        <f>"CANALETA 50 x 80 mm  - RECORTE ABERTO - CINZA"</f>
        <v>CANALETA 50 x 80 mm  - RECORTE ABERTO - CINZA</v>
      </c>
      <c r="C1607" t="str">
        <f>"51900003"</f>
        <v>51900003</v>
      </c>
      <c r="D1607" s="9"/>
      <c r="E1607" s="14" t="s">
        <v>15</v>
      </c>
    </row>
    <row r="1608" spans="1:5" ht="15.75" x14ac:dyDescent="0.25">
      <c r="A1608" s="5">
        <v>4</v>
      </c>
      <c r="B1608" s="6" t="str">
        <f>"CANALETA 30 X 30 MM - RECORTE ABERTO CINZA"</f>
        <v>CANALETA 30 X 30 MM - RECORTE ABERTO CINZA</v>
      </c>
      <c r="C1608" s="6" t="str">
        <f>"51900004"</f>
        <v>51900004</v>
      </c>
      <c r="D1608" s="10"/>
      <c r="E1608" s="14" t="s">
        <v>15</v>
      </c>
    </row>
    <row r="1609" spans="1:5" ht="15.75" x14ac:dyDescent="0.25">
      <c r="A1609" s="4">
        <v>4</v>
      </c>
      <c r="B1609" t="str">
        <f>"CANALETA 30 X 30 MM - FECHADA - BEGE."</f>
        <v>CANALETA 30 X 30 MM - FECHADA - BEGE.</v>
      </c>
      <c r="C1609" t="str">
        <f>"51900005"</f>
        <v>51900005</v>
      </c>
      <c r="D1609" s="9"/>
      <c r="E1609" s="14" t="s">
        <v>15</v>
      </c>
    </row>
    <row r="1610" spans="1:5" ht="15.75" x14ac:dyDescent="0.25">
      <c r="A1610" s="5">
        <v>12</v>
      </c>
      <c r="B1610" s="6" t="str">
        <f>"CANALETA 50 X 50 MM - FECHADA - BEGE."</f>
        <v>CANALETA 50 X 50 MM - FECHADA - BEGE.</v>
      </c>
      <c r="C1610" s="6" t="str">
        <f>"51900006"</f>
        <v>51900006</v>
      </c>
      <c r="D1610" s="10"/>
      <c r="E1610" s="14" t="s">
        <v>15</v>
      </c>
    </row>
    <row r="1611" spans="1:5" ht="15.75" x14ac:dyDescent="0.25">
      <c r="A1611" s="4">
        <v>36</v>
      </c>
      <c r="B1611" t="str">
        <f>"CAnaleta  110 X 80 mm RECORTE ABERTO - CINZA"</f>
        <v>CAnaleta  110 X 80 mm RECORTE ABERTO - CINZA</v>
      </c>
      <c r="C1611" t="str">
        <f>"51900010"</f>
        <v>51900010</v>
      </c>
      <c r="D1611" s="9"/>
      <c r="E1611" s="14" t="s">
        <v>15</v>
      </c>
    </row>
    <row r="1612" spans="1:5" ht="15.75" x14ac:dyDescent="0.25">
      <c r="A1612" s="5">
        <v>16</v>
      </c>
      <c r="B1612" s="6" t="str">
        <f>"Canaleta  80 X 80 mm RECORTE FECHADO - CREME"</f>
        <v>Canaleta  80 X 80 mm RECORTE FECHADO - CREME</v>
      </c>
      <c r="C1612" s="6" t="str">
        <f>"51900101"</f>
        <v>51900101</v>
      </c>
      <c r="D1612" s="10"/>
      <c r="E1612" s="14" t="s">
        <v>15</v>
      </c>
    </row>
    <row r="1613" spans="1:5" ht="15.75" x14ac:dyDescent="0.25">
      <c r="A1613" s="4">
        <v>6</v>
      </c>
      <c r="B1613" t="str">
        <f>"Canaleta  50 X 50 mm RECORTE FECHADO - CREME"</f>
        <v>Canaleta  50 X 50 mm RECORTE FECHADO - CREME</v>
      </c>
      <c r="C1613" t="str">
        <f>"51900102"</f>
        <v>51900102</v>
      </c>
      <c r="D1613" s="9"/>
      <c r="E1613" s="14" t="s">
        <v>15</v>
      </c>
    </row>
    <row r="1614" spans="1:5" ht="15.75" x14ac:dyDescent="0.25">
      <c r="A1614" s="5">
        <v>12</v>
      </c>
      <c r="B1614" s="6" t="str">
        <f>"Canaleta  50 X 80 mm RECORTE FECHADO - CREME"</f>
        <v>Canaleta  50 X 80 mm RECORTE FECHADO - CREME</v>
      </c>
      <c r="C1614" s="6" t="str">
        <f>"51900103"</f>
        <v>51900103</v>
      </c>
      <c r="D1614" s="10"/>
      <c r="E1614" s="14" t="s">
        <v>15</v>
      </c>
    </row>
    <row r="1615" spans="1:5" ht="15.75" x14ac:dyDescent="0.25">
      <c r="A1615" s="4">
        <v>2</v>
      </c>
      <c r="B1615" t="str">
        <f>"Canaleta  110 X 80 mm RECORTE FECHADO - CREME"</f>
        <v>Canaleta  110 X 80 mm RECORTE FECHADO - CREME</v>
      </c>
      <c r="C1615" t="str">
        <f>"51900110"</f>
        <v>51900110</v>
      </c>
      <c r="D1615" s="9"/>
      <c r="E1615" s="14" t="s">
        <v>15</v>
      </c>
    </row>
    <row r="1616" spans="1:5" ht="15.75" x14ac:dyDescent="0.25">
      <c r="A1616" s="5">
        <v>7</v>
      </c>
      <c r="B1616" s="6" t="str">
        <f>"CAPA PARA CONECTOR DB 9 METALIZADO"</f>
        <v>CAPA PARA CONECTOR DB 9 METALIZADO</v>
      </c>
      <c r="C1616" s="6" t="str">
        <f>"51940010"</f>
        <v>51940010</v>
      </c>
      <c r="D1616" s="10"/>
      <c r="E1616" s="14" t="s">
        <v>15</v>
      </c>
    </row>
    <row r="1617" spans="1:5" ht="15.75" x14ac:dyDescent="0.25">
      <c r="A1617" s="4">
        <v>1</v>
      </c>
      <c r="B1617" t="str">
        <f>"CAPA PROTETORA DO PRESSOSTATO PRESSURE"</f>
        <v>CAPA PROTETORA DO PRESSOSTATO PRESSURE</v>
      </c>
      <c r="C1617" t="str">
        <f>"51940110"</f>
        <v>51940110</v>
      </c>
      <c r="D1617" s="9"/>
      <c r="E1617" s="14" t="s">
        <v>15</v>
      </c>
    </row>
    <row r="1618" spans="1:5" ht="15.75" x14ac:dyDescent="0.25">
      <c r="A1618" s="5">
        <v>1</v>
      </c>
      <c r="B1618" s="6" t="str">
        <f>"CARCAÇA P/ INSERTO até 8 PINOS C/ ROSC PG 11 ENT.TOPO  METAL"</f>
        <v>CARCAÇA P/ INSERTO até 8 PINOS C/ ROSC PG 11 ENT.TOPO  METAL</v>
      </c>
      <c r="C1618" s="6" t="str">
        <f>"51980003"</f>
        <v>51980003</v>
      </c>
      <c r="D1618" s="10"/>
      <c r="E1618" s="14" t="s">
        <v>15</v>
      </c>
    </row>
    <row r="1619" spans="1:5" ht="15.75" x14ac:dyDescent="0.25">
      <c r="A1619" s="4">
        <v>1</v>
      </c>
      <c r="B1619" t="str">
        <f>"CARCAÇA PARA INSERTO DE 6 PINOS - PG 16 ENTR. TOPO. 1 TRAVA"</f>
        <v>CARCAÇA PARA INSERTO DE 6 PINOS - PG 16 ENTR. TOPO. 1 TRAVA</v>
      </c>
      <c r="C1619" t="str">
        <f>"51980008"</f>
        <v>51980008</v>
      </c>
      <c r="D1619" s="9"/>
      <c r="E1619" s="14" t="s">
        <v>15</v>
      </c>
    </row>
    <row r="1620" spans="1:5" ht="15.75" x14ac:dyDescent="0.25">
      <c r="A1620" s="5">
        <v>4</v>
      </c>
      <c r="B1620" s="6" t="str">
        <f>"CARCAÇA  PARA INSERTO 16 PINOS COM ROSCA PG 21 ENTRADA TOPO"</f>
        <v>CARCAÇA  PARA INSERTO 16 PINOS COM ROSCA PG 21 ENTRADA TOPO</v>
      </c>
      <c r="C1620" s="6" t="str">
        <f>"51980016"</f>
        <v>51980016</v>
      </c>
      <c r="D1620" s="10"/>
      <c r="E1620" s="14" t="s">
        <v>15</v>
      </c>
    </row>
    <row r="1621" spans="1:5" ht="15.75" x14ac:dyDescent="0.25">
      <c r="A1621" s="4">
        <v>2</v>
      </c>
      <c r="B1621" t="str">
        <f>"CARCAÇA PARA INSERTO 24 PINOS COM ROSCA PG 21 ENTRADA LATERA"</f>
        <v>CARCAÇA PARA INSERTO 24 PINOS COM ROSCA PG 21 ENTRADA LATERA</v>
      </c>
      <c r="C1621" t="str">
        <f>"51980020"</f>
        <v>51980020</v>
      </c>
      <c r="D1621" s="9"/>
      <c r="E1621" s="14" t="s">
        <v>15</v>
      </c>
    </row>
    <row r="1622" spans="1:5" ht="15.75" x14ac:dyDescent="0.25">
      <c r="A1622" s="5">
        <v>1</v>
      </c>
      <c r="B1622" s="6" t="str">
        <f>"CARCAÇA PLASTICA 16"</f>
        <v>CARCAÇA PLASTICA 16</v>
      </c>
      <c r="C1622" s="6" t="str">
        <f>"51980023"</f>
        <v>51980023</v>
      </c>
      <c r="D1622" s="10"/>
      <c r="E1622" s="14" t="s">
        <v>15</v>
      </c>
    </row>
    <row r="1623" spans="1:5" ht="15.75" x14ac:dyDescent="0.25">
      <c r="A1623" s="4">
        <v>2</v>
      </c>
      <c r="B1623" t="str">
        <f>"CELULA DE CARGA P/ 25 KG"</f>
        <v>CELULA DE CARGA P/ 25 KG</v>
      </c>
      <c r="C1623" t="str">
        <f>"52000100"</f>
        <v>52000100</v>
      </c>
      <c r="D1623" s="9"/>
      <c r="E1623" s="14" t="s">
        <v>15</v>
      </c>
    </row>
    <row r="1624" spans="1:5" ht="15.75" x14ac:dyDescent="0.25">
      <c r="A1624" s="5">
        <v>3</v>
      </c>
      <c r="B1624" s="6" t="str">
        <f>"CHAVE PARA ETHERNET DE 8 PONTOS"</f>
        <v>CHAVE PARA ETHERNET DE 8 PONTOS</v>
      </c>
      <c r="C1624" s="6" t="str">
        <f>"52040008"</f>
        <v>52040008</v>
      </c>
      <c r="D1624" s="10"/>
      <c r="E1624" s="14" t="s">
        <v>15</v>
      </c>
    </row>
    <row r="1625" spans="1:5" ht="15.75" x14ac:dyDescent="0.25">
      <c r="A1625" s="4">
        <v>4</v>
      </c>
      <c r="B1625" t="str">
        <f>"CHAVE DE SEG. 2NF COMUT. RAPIDO 200N C/ BOTAO DE BLOQUEIO"</f>
        <v>CHAVE DE SEG. 2NF COMUT. RAPIDO 200N C/ BOTAO DE BLOQUEIO</v>
      </c>
      <c r="C1625" t="str">
        <f>"52040032"</f>
        <v>52040032</v>
      </c>
      <c r="D1625" s="9"/>
      <c r="E1625" s="14" t="s">
        <v>15</v>
      </c>
    </row>
    <row r="1626" spans="1:5" ht="15.75" x14ac:dyDescent="0.25">
      <c r="A1626" s="5">
        <v>5</v>
      </c>
      <c r="B1626" s="6" t="str">
        <f>"CHAVE DE SEG. COM TRAVAMENTO ELETRO-MECANICO"</f>
        <v>CHAVE DE SEG. COM TRAVAMENTO ELETRO-MECANICO</v>
      </c>
      <c r="C1626" s="6" t="str">
        <f>"52040033"</f>
        <v>52040033</v>
      </c>
      <c r="D1626" s="10"/>
      <c r="E1626" s="14" t="s">
        <v>15</v>
      </c>
    </row>
    <row r="1627" spans="1:5" ht="15.75" x14ac:dyDescent="0.25">
      <c r="A1627" s="4">
        <v>2</v>
      </c>
      <c r="B1627" t="str">
        <f>"CHAVE DE SEG. COM TRAVAMENTO MECANICO + ATUADOR"</f>
        <v>CHAVE DE SEG. COM TRAVAMENTO MECANICO + ATUADOR</v>
      </c>
      <c r="C1627" t="str">
        <f>"52040034"</f>
        <v>52040034</v>
      </c>
      <c r="D1627" s="9"/>
      <c r="E1627" s="14" t="s">
        <v>15</v>
      </c>
    </row>
    <row r="1628" spans="1:5" ht="15.75" x14ac:dyDescent="0.25">
      <c r="A1628" s="5">
        <v>8</v>
      </c>
      <c r="B1628" s="6" t="str">
        <f>"CHAVE DOBRADIÇA DE SEGURANÇA"</f>
        <v>CHAVE DOBRADIÇA DE SEGURANÇA</v>
      </c>
      <c r="C1628" s="6" t="str">
        <f>"52040036"</f>
        <v>52040036</v>
      </c>
      <c r="D1628" s="10"/>
      <c r="E1628" s="14" t="s">
        <v>15</v>
      </c>
    </row>
    <row r="1629" spans="1:5" ht="15.75" x14ac:dyDescent="0.25">
      <c r="A1629" s="4">
        <v>4</v>
      </c>
      <c r="B1629" t="str">
        <f>"TAPETE DE SEGURANÇA 750 X 750 MM ( larg. 1200)"</f>
        <v>TAPETE DE SEGURANÇA 750 X 750 MM ( larg. 1200)</v>
      </c>
      <c r="C1629" t="str">
        <f>"52040037"</f>
        <v>52040037</v>
      </c>
      <c r="D1629" s="9"/>
      <c r="E1629" s="14" t="s">
        <v>15</v>
      </c>
    </row>
    <row r="1630" spans="1:5" ht="15.75" x14ac:dyDescent="0.25">
      <c r="A1630" s="5">
        <v>4</v>
      </c>
      <c r="B1630" s="6" t="str">
        <f>"CHAVE REVERSORA MAGNETICA PARA MOTOR DE 1,6 A (24VDC)"</f>
        <v>CHAVE REVERSORA MAGNETICA PARA MOTOR DE 1,6 A (24VDC)</v>
      </c>
      <c r="C1630" s="6" t="str">
        <f>"52040090"</f>
        <v>52040090</v>
      </c>
      <c r="D1630" s="10"/>
      <c r="E1630" s="14" t="s">
        <v>15</v>
      </c>
    </row>
    <row r="1631" spans="1:5" ht="15.75" x14ac:dyDescent="0.25">
      <c r="A1631" s="4">
        <v>2</v>
      </c>
      <c r="B1631" t="str">
        <f>"CHAVE TRIANGULAR MECANICA - 100 mm"</f>
        <v>CHAVE TRIANGULAR MECANICA - 100 mm</v>
      </c>
      <c r="C1631" t="str">
        <f>"52040110"</f>
        <v>52040110</v>
      </c>
      <c r="D1631" s="9"/>
      <c r="E1631" s="14" t="s">
        <v>15</v>
      </c>
    </row>
    <row r="1632" spans="1:5" ht="15.75" x14ac:dyDescent="0.25">
      <c r="A1632" s="5">
        <v>2</v>
      </c>
      <c r="B1632" s="6" t="str">
        <f>"CPU DE SEGURANÇA COM REDE EFI - REXROTH"</f>
        <v>CPU DE SEGURANÇA COM REDE EFI - REXROTH</v>
      </c>
      <c r="C1632" s="6" t="str">
        <f>"52140601"</f>
        <v>52140601</v>
      </c>
      <c r="D1632" s="10"/>
      <c r="E1632" s="14" t="s">
        <v>15</v>
      </c>
    </row>
    <row r="1633" spans="1:5" ht="15.75" x14ac:dyDescent="0.25">
      <c r="A1633" s="4">
        <v>20</v>
      </c>
      <c r="B1633" t="str">
        <f>"MODULO BARREIRA INTRINSECA 2 CANAIS"</f>
        <v>MODULO BARREIRA INTRINSECA 2 CANAIS</v>
      </c>
      <c r="C1633" t="str">
        <f>"52240003"</f>
        <v>52240003</v>
      </c>
      <c r="D1633" s="9"/>
      <c r="E1633" s="14" t="s">
        <v>15</v>
      </c>
    </row>
    <row r="1634" spans="1:5" ht="15.75" x14ac:dyDescent="0.25">
      <c r="A1634" s="5">
        <v>40</v>
      </c>
      <c r="B1634" s="6" t="str">
        <f>"Conduite Polietileno cinza - Pg 16"</f>
        <v>Conduite Polietileno cinza - Pg 16</v>
      </c>
      <c r="C1634" s="6" t="str">
        <f>"52260010"</f>
        <v>52260010</v>
      </c>
      <c r="D1634" s="10"/>
      <c r="E1634" s="14" t="s">
        <v>15</v>
      </c>
    </row>
    <row r="1635" spans="1:5" ht="15.75" x14ac:dyDescent="0.25">
      <c r="A1635" s="4">
        <v>20</v>
      </c>
      <c r="B1635" t="str">
        <f>"Conduite Polietileno - Pg 21"</f>
        <v>Conduite Polietileno - Pg 21</v>
      </c>
      <c r="C1635" t="str">
        <f>"52260011"</f>
        <v>52260011</v>
      </c>
      <c r="D1635" s="9"/>
      <c r="E1635" s="14" t="s">
        <v>15</v>
      </c>
    </row>
    <row r="1636" spans="1:5" ht="15.75" x14ac:dyDescent="0.25">
      <c r="A1636" s="5">
        <v>25</v>
      </c>
      <c r="B1636" s="6" t="str">
        <f>"Conduite Polietileno cinza - Pg 11"</f>
        <v>Conduite Polietileno cinza - Pg 11</v>
      </c>
      <c r="C1636" s="6" t="str">
        <f>"52260020"</f>
        <v>52260020</v>
      </c>
      <c r="D1636" s="10"/>
      <c r="E1636" s="14" t="s">
        <v>15</v>
      </c>
    </row>
    <row r="1637" spans="1:5" ht="15.75" x14ac:dyDescent="0.25">
      <c r="A1637" s="4">
        <v>20</v>
      </c>
      <c r="B1637" t="str">
        <f>"Conduite Poliamida cinza - Pg 21"</f>
        <v>Conduite Poliamida cinza - Pg 21</v>
      </c>
      <c r="C1637" t="str">
        <f>"52260045"</f>
        <v>52260045</v>
      </c>
      <c r="D1637" s="9"/>
      <c r="E1637" s="14" t="s">
        <v>15</v>
      </c>
    </row>
    <row r="1638" spans="1:5" ht="15.75" x14ac:dyDescent="0.25">
      <c r="A1638" s="5">
        <v>25</v>
      </c>
      <c r="B1638" s="6" t="str">
        <f>"Conduite Polietileno cinza - Pg 29"</f>
        <v>Conduite Polietileno cinza - Pg 29</v>
      </c>
      <c r="C1638" s="6" t="str">
        <f>"52260050"</f>
        <v>52260050</v>
      </c>
      <c r="D1638" s="10"/>
      <c r="E1638" s="14" t="s">
        <v>15</v>
      </c>
    </row>
    <row r="1639" spans="1:5" ht="15.75" x14ac:dyDescent="0.25">
      <c r="A1639" s="4">
        <v>5</v>
      </c>
      <c r="B1639" t="str">
        <f>"Conduite Polietileno cinza - Pg 36"</f>
        <v>Conduite Polietileno cinza - Pg 36</v>
      </c>
      <c r="C1639" t="str">
        <f>"52260060"</f>
        <v>52260060</v>
      </c>
      <c r="D1639" s="9"/>
      <c r="E1639" s="14" t="s">
        <v>15</v>
      </c>
    </row>
    <row r="1640" spans="1:5" ht="15.75" x14ac:dyDescent="0.25">
      <c r="A1640" s="5">
        <v>12</v>
      </c>
      <c r="B1640" s="6" t="str">
        <f>"Conduite Bipartido Polipropileno Preto - PG 37"</f>
        <v>Conduite Bipartido Polipropileno Preto - PG 37</v>
      </c>
      <c r="C1640" s="6" t="str">
        <f>"52260061"</f>
        <v>52260061</v>
      </c>
      <c r="D1640" s="10"/>
      <c r="E1640" s="14" t="s">
        <v>15</v>
      </c>
    </row>
    <row r="1641" spans="1:5" ht="15.75" x14ac:dyDescent="0.25">
      <c r="A1641" s="4">
        <v>5</v>
      </c>
      <c r="B1641" t="str">
        <f>"Conduite Bipartido Polipropileno Preto - PG 16"</f>
        <v>Conduite Bipartido Polipropileno Preto - PG 16</v>
      </c>
      <c r="C1641" t="str">
        <f>"52260065"</f>
        <v>52260065</v>
      </c>
      <c r="D1641" s="9"/>
      <c r="E1641" s="14" t="s">
        <v>15</v>
      </c>
    </row>
    <row r="1642" spans="1:5" ht="15.75" x14ac:dyDescent="0.25">
      <c r="A1642" s="5">
        <v>6</v>
      </c>
      <c r="B1642" s="6" t="str">
        <f>"CONECTOR DB 9 MACHO"</f>
        <v>CONECTOR DB 9 MACHO</v>
      </c>
      <c r="C1642" s="6" t="str">
        <f>"52280004"</f>
        <v>52280004</v>
      </c>
      <c r="D1642" s="10"/>
      <c r="E1642" s="14" t="s">
        <v>15</v>
      </c>
    </row>
    <row r="1643" spans="1:5" ht="15.75" x14ac:dyDescent="0.25">
      <c r="A1643" s="4">
        <v>1</v>
      </c>
      <c r="B1643" t="str">
        <f>"CONECTOR DB 9 FEMEA"</f>
        <v>CONECTOR DB 9 FEMEA</v>
      </c>
      <c r="C1643" t="str">
        <f>"52280005"</f>
        <v>52280005</v>
      </c>
      <c r="D1643" s="9"/>
      <c r="E1643" s="14" t="s">
        <v>15</v>
      </c>
    </row>
    <row r="1644" spans="1:5" ht="15.75" x14ac:dyDescent="0.25">
      <c r="A1644" s="5">
        <v>12</v>
      </c>
      <c r="B1644" s="6" t="str">
        <f>"CONECTOR 4 VIAS REDE PROF-BUS PARAFUSO MACHO ( 90° )"</f>
        <v>CONECTOR 4 VIAS REDE PROF-BUS PARAFUSO MACHO ( 90° )</v>
      </c>
      <c r="C1644" s="6" t="str">
        <f>"52280016"</f>
        <v>52280016</v>
      </c>
      <c r="D1644" s="10"/>
      <c r="E1644" s="14" t="s">
        <v>15</v>
      </c>
    </row>
    <row r="1645" spans="1:5" ht="15.75" x14ac:dyDescent="0.25">
      <c r="A1645" s="4">
        <v>2</v>
      </c>
      <c r="B1645" t="str">
        <f>"CONECTOR ROTATIVO 830 2 X 4A E 6 X 30A"</f>
        <v>CONECTOR ROTATIVO 830 2 X 4A E 6 X 30A</v>
      </c>
      <c r="C1645" t="str">
        <f>"52280021"</f>
        <v>52280021</v>
      </c>
      <c r="D1645" s="9"/>
      <c r="E1645" s="14" t="s">
        <v>15</v>
      </c>
    </row>
    <row r="1646" spans="1:5" ht="15.75" x14ac:dyDescent="0.25">
      <c r="A1646" s="5">
        <v>1</v>
      </c>
      <c r="B1646" s="6" t="str">
        <f>"CONECTOR DB 15 MACHO C/ BORNE E CAPA"</f>
        <v>CONECTOR DB 15 MACHO C/ BORNE E CAPA</v>
      </c>
      <c r="C1646" s="6" t="str">
        <f>"52280023"</f>
        <v>52280023</v>
      </c>
      <c r="D1646" s="10"/>
      <c r="E1646" s="14" t="s">
        <v>15</v>
      </c>
    </row>
    <row r="1647" spans="1:5" ht="15.75" x14ac:dyDescent="0.25">
      <c r="A1647" s="4">
        <v>11</v>
      </c>
      <c r="B1647" t="str">
        <f>"CONECTOR MULTIPOLAR   6 MM2 -"</f>
        <v>CONECTOR MULTIPOLAR   6 MM2 -</v>
      </c>
      <c r="C1647" t="str">
        <f>"52280300"</f>
        <v>52280300</v>
      </c>
      <c r="D1647" s="9"/>
      <c r="E1647" s="14" t="s">
        <v>15</v>
      </c>
    </row>
    <row r="1648" spans="1:5" ht="15.75" x14ac:dyDescent="0.25">
      <c r="A1648" s="5">
        <v>2</v>
      </c>
      <c r="B1648" s="6" t="str">
        <f>"CONECTOR MULTIPOLAR 30 A /10MM2 -"</f>
        <v>CONECTOR MULTIPOLAR 30 A /10MM2 -</v>
      </c>
      <c r="C1648" s="6" t="str">
        <f>"52280305"</f>
        <v>52280305</v>
      </c>
      <c r="D1648" s="10"/>
      <c r="E1648" s="14" t="s">
        <v>15</v>
      </c>
    </row>
    <row r="1649" spans="1:5" ht="15.75" x14ac:dyDescent="0.25">
      <c r="A1649" s="4">
        <v>2</v>
      </c>
      <c r="B1649" t="str">
        <f>"DIVISOR ANTENA 2 SAIDAS"</f>
        <v>DIVISOR ANTENA 2 SAIDAS</v>
      </c>
      <c r="C1649" t="str">
        <f>"52280430"</f>
        <v>52280430</v>
      </c>
      <c r="D1649" s="9"/>
      <c r="E1649" s="14" t="s">
        <v>15</v>
      </c>
    </row>
    <row r="1650" spans="1:5" ht="15.75" x14ac:dyDescent="0.25">
      <c r="A1650" s="5">
        <v>8</v>
      </c>
      <c r="B1650" s="6" t="str">
        <f>"CONECTOR F COMPRESSÃO P/ ( ANTENA)"</f>
        <v>CONECTOR F COMPRESSÃO P/ ( ANTENA)</v>
      </c>
      <c r="C1650" s="6" t="str">
        <f>"52280440"</f>
        <v>52280440</v>
      </c>
      <c r="D1650" s="10"/>
      <c r="E1650" s="14" t="s">
        <v>15</v>
      </c>
    </row>
    <row r="1651" spans="1:5" ht="15.75" x14ac:dyDescent="0.25">
      <c r="A1651" s="4">
        <v>1</v>
      </c>
      <c r="B1651" t="str">
        <f>"CONECTOR M12 FEMEA - PROFIBUS 2P"</f>
        <v>CONECTOR M12 FEMEA - PROFIBUS 2P</v>
      </c>
      <c r="C1651" t="str">
        <f>"52280700"</f>
        <v>52280700</v>
      </c>
      <c r="D1651" s="9"/>
      <c r="E1651" s="14" t="s">
        <v>15</v>
      </c>
    </row>
    <row r="1652" spans="1:5" ht="15.75" x14ac:dyDescent="0.25">
      <c r="A1652" s="5">
        <v>2</v>
      </c>
      <c r="B1652" s="6" t="str">
        <f>"CONECTOR M12 FEMEA -   5P   INTERBUS (6...8MM)"</f>
        <v>CONECTOR M12 FEMEA -   5P   INTERBUS (6...8MM)</v>
      </c>
      <c r="C1652" s="6" t="str">
        <f>"52280701"</f>
        <v>52280701</v>
      </c>
      <c r="D1652" s="10"/>
      <c r="E1652" s="14" t="s">
        <v>15</v>
      </c>
    </row>
    <row r="1653" spans="1:5" ht="15.75" x14ac:dyDescent="0.25">
      <c r="A1653" s="4">
        <v>1</v>
      </c>
      <c r="B1653" t="str">
        <f>"CONECTOR M12 MACHO - PROFIBUS 2P"</f>
        <v>CONECTOR M12 MACHO - PROFIBUS 2P</v>
      </c>
      <c r="C1653" t="str">
        <f>"52280702"</f>
        <v>52280702</v>
      </c>
      <c r="D1653" s="9"/>
      <c r="E1653" s="14" t="s">
        <v>15</v>
      </c>
    </row>
    <row r="1654" spans="1:5" ht="15.75" x14ac:dyDescent="0.25">
      <c r="A1654" s="5">
        <v>1</v>
      </c>
      <c r="B1654" s="6" t="str">
        <f>"CONECTOR 7/8 FR 5 P 10..12 MM"</f>
        <v>CONECTOR 7/8 FR 5 P 10..12 MM</v>
      </c>
      <c r="C1654" s="6" t="str">
        <f>"52280705"</f>
        <v>52280705</v>
      </c>
      <c r="D1654" s="10"/>
      <c r="E1654" s="14" t="s">
        <v>15</v>
      </c>
    </row>
    <row r="1655" spans="1:5" ht="15.75" x14ac:dyDescent="0.25">
      <c r="A1655" s="4">
        <v>6</v>
      </c>
      <c r="B1655" t="str">
        <f>"CONECTOR M12 MACHO Y 5 P  5mm"</f>
        <v>CONECTOR M12 MACHO Y 5 P  5mm</v>
      </c>
      <c r="C1655" t="str">
        <f>"52280715"</f>
        <v>52280715</v>
      </c>
      <c r="D1655" s="9"/>
      <c r="E1655" s="14" t="s">
        <v>15</v>
      </c>
    </row>
    <row r="1656" spans="1:5" ht="15.75" x14ac:dyDescent="0.25">
      <c r="A1656" s="5">
        <v>42</v>
      </c>
      <c r="B1656" s="6" t="str">
        <f>"CONECTOR ""T"" SLIMLINE M12 MACHO / M12 FEMEA"</f>
        <v>CONECTOR "T" SLIMLINE M12 MACHO / M12 FEMEA</v>
      </c>
      <c r="C1656" s="6" t="str">
        <f>"52280722"</f>
        <v>52280722</v>
      </c>
      <c r="D1656" s="10"/>
      <c r="E1656" s="14" t="s">
        <v>15</v>
      </c>
    </row>
    <row r="1657" spans="1:5" ht="15.75" x14ac:dyDescent="0.25">
      <c r="A1657" s="4">
        <v>29</v>
      </c>
      <c r="B1657" t="str">
        <f>"Conector de Válvula 9,4MM C/ Conexão M12 Superior"</f>
        <v>Conector de Válvula 9,4MM C/ Conexão M12 Superior</v>
      </c>
      <c r="C1657" t="str">
        <f>"52280730"</f>
        <v>52280730</v>
      </c>
      <c r="D1657" s="9"/>
      <c r="E1657" s="14" t="s">
        <v>15</v>
      </c>
    </row>
    <row r="1658" spans="1:5" ht="15.75" x14ac:dyDescent="0.25">
      <c r="A1658" s="5">
        <v>1</v>
      </c>
      <c r="B1658" s="6" t="str">
        <f>"CONECTOR P/ FLAT CABLE BOSCH SAFE"</f>
        <v>CONECTOR P/ FLAT CABLE BOSCH SAFE</v>
      </c>
      <c r="C1658" s="6" t="str">
        <f>"52280825"</f>
        <v>52280825</v>
      </c>
      <c r="D1658" s="10"/>
      <c r="E1658" s="14" t="s">
        <v>15</v>
      </c>
    </row>
    <row r="1659" spans="1:5" ht="15.75" x14ac:dyDescent="0.25">
      <c r="A1659" s="4">
        <v>2</v>
      </c>
      <c r="B1659" t="str">
        <f>"CONECTOR P/ CELULA DE CARGA RE"</f>
        <v>CONECTOR P/ CELULA DE CARGA RE</v>
      </c>
      <c r="C1659" t="str">
        <f>"52281700"</f>
        <v>52281700</v>
      </c>
      <c r="D1659" s="9"/>
      <c r="E1659" s="14" t="s">
        <v>15</v>
      </c>
    </row>
    <row r="1660" spans="1:5" ht="15.75" x14ac:dyDescent="0.25">
      <c r="A1660" s="5">
        <v>1</v>
      </c>
      <c r="B1660" s="6" t="str">
        <f>"CONECTOR P/CHAVE DE 400 A  ( 1 CJ 3pçs )"</f>
        <v>CONECTOR P/CHAVE DE 400 A  ( 1 CJ 3pçs )</v>
      </c>
      <c r="C1660" s="6" t="str">
        <f>"52281800"</f>
        <v>52281800</v>
      </c>
      <c r="D1660" s="10"/>
      <c r="E1660" s="14" t="s">
        <v>15</v>
      </c>
    </row>
    <row r="1661" spans="1:5" ht="15.75" x14ac:dyDescent="0.25">
      <c r="A1661" s="4">
        <v>1</v>
      </c>
      <c r="B1661" t="str">
        <f>"BARRA DE CONEÇÃO  P/CHAVE DE 400 A -"</f>
        <v>BARRA DE CONEÇÃO  P/CHAVE DE 400 A -</v>
      </c>
      <c r="C1661" t="str">
        <f>"52281805"</f>
        <v>52281805</v>
      </c>
      <c r="D1661" s="9"/>
      <c r="E1661" s="14" t="s">
        <v>15</v>
      </c>
    </row>
    <row r="1662" spans="1:5" ht="15.75" x14ac:dyDescent="0.25">
      <c r="A1662" s="5">
        <v>2</v>
      </c>
      <c r="B1662" s="6" t="str">
        <f>"CONTATO AUXILIAR 4 NA PARA CONTATOR AUXILIAR P/ EATON"</f>
        <v>CONTATO AUXILIAR 4 NA PARA CONTATOR AUXILIAR P/ EATON</v>
      </c>
      <c r="C1662" s="6" t="str">
        <f>"52320004"</f>
        <v>52320004</v>
      </c>
      <c r="D1662" s="10"/>
      <c r="E1662" s="14" t="s">
        <v>15</v>
      </c>
    </row>
    <row r="1663" spans="1:5" ht="15.75" x14ac:dyDescent="0.25">
      <c r="A1663" s="4">
        <v>39</v>
      </c>
      <c r="B1663" t="str">
        <f>"CONTATO NORMAL ABERTO PARA BOTAO"</f>
        <v>CONTATO NORMAL ABERTO PARA BOTAO</v>
      </c>
      <c r="C1663" t="str">
        <f>"52320005"</f>
        <v>52320005</v>
      </c>
      <c r="D1663" s="9"/>
      <c r="E1663" s="14" t="s">
        <v>15</v>
      </c>
    </row>
    <row r="1664" spans="1:5" ht="15.75" x14ac:dyDescent="0.25">
      <c r="A1664" s="5">
        <v>46</v>
      </c>
      <c r="B1664" s="6" t="str">
        <f>"CONTATO NORMAL FECHADO PARA BOTAO"</f>
        <v>CONTATO NORMAL FECHADO PARA BOTAO</v>
      </c>
      <c r="C1664" s="6" t="str">
        <f>"52320006"</f>
        <v>52320006</v>
      </c>
      <c r="D1664" s="10"/>
      <c r="E1664" s="14" t="s">
        <v>15</v>
      </c>
    </row>
    <row r="1665" spans="1:5" ht="15.75" x14ac:dyDescent="0.25">
      <c r="A1665" s="4">
        <v>17</v>
      </c>
      <c r="B1665" t="str">
        <f>"CONTATO AUX.   PARA DISJ. MOTOR FRONTAL 1NA + 1 NF"</f>
        <v>CONTATO AUX.   PARA DISJ. MOTOR FRONTAL 1NA + 1 NF</v>
      </c>
      <c r="C1665" t="str">
        <f>"52320021"</f>
        <v>52320021</v>
      </c>
      <c r="D1665" s="9"/>
      <c r="E1665" s="14" t="s">
        <v>15</v>
      </c>
    </row>
    <row r="1666" spans="1:5" ht="15.75" x14ac:dyDescent="0.25">
      <c r="A1666" s="5">
        <v>5</v>
      </c>
      <c r="B1666" s="6" t="str">
        <f>"CONTATO AUXILIAR 2 NA P/ DILEM (MINI)"</f>
        <v>CONTATO AUXILIAR 2 NA P/ DILEM (MINI)</v>
      </c>
      <c r="C1666" s="6" t="str">
        <f>"52320030"</f>
        <v>52320030</v>
      </c>
      <c r="D1666" s="10"/>
      <c r="E1666" s="14" t="s">
        <v>15</v>
      </c>
    </row>
    <row r="1667" spans="1:5" ht="15.75" x14ac:dyDescent="0.25">
      <c r="A1667" s="4">
        <v>8</v>
      </c>
      <c r="B1667" t="str">
        <f>"CONTATO AUXILIAR 1 NA + 1NF P/ DILM"</f>
        <v>CONTATO AUXILIAR 1 NA + 1NF P/ DILM</v>
      </c>
      <c r="C1667" t="str">
        <f>"52320032"</f>
        <v>52320032</v>
      </c>
      <c r="D1667" s="9"/>
      <c r="E1667" s="14" t="s">
        <v>15</v>
      </c>
    </row>
    <row r="1668" spans="1:5" ht="15.75" x14ac:dyDescent="0.25">
      <c r="A1668" s="5">
        <v>2</v>
      </c>
      <c r="B1668" s="6" t="str">
        <f>"CONTATO AUXILIAR 1NA + 1NF P/SOBREPOR P/ DISJUNTOR"</f>
        <v>CONTATO AUXILIAR 1NA + 1NF P/SOBREPOR P/ DISJUNTOR</v>
      </c>
      <c r="C1668" s="6" t="str">
        <f>"52320035"</f>
        <v>52320035</v>
      </c>
      <c r="D1668" s="10"/>
      <c r="E1668" s="14" t="s">
        <v>15</v>
      </c>
    </row>
    <row r="1669" spans="1:5" ht="15.75" x14ac:dyDescent="0.25">
      <c r="A1669" s="4">
        <v>1</v>
      </c>
      <c r="B1669" t="str">
        <f>"Contator Trip 25A 1NF 24Vcc Rele"</f>
        <v>Contator Trip 25A 1NF 24Vcc Rele</v>
      </c>
      <c r="C1669" t="str">
        <f>"52320039"</f>
        <v>52320039</v>
      </c>
      <c r="D1669" s="9"/>
      <c r="E1669" s="14" t="s">
        <v>15</v>
      </c>
    </row>
    <row r="1670" spans="1:5" ht="15.75" x14ac:dyDescent="0.25">
      <c r="A1670" s="5">
        <v>6</v>
      </c>
      <c r="B1670" s="6" t="str">
        <f>"CONTATOR AUXILIAR 3NA + 1NF (24 VDC)"</f>
        <v>CONTATOR AUXILIAR 3NA + 1NF (24 VDC)</v>
      </c>
      <c r="C1670" s="6" t="str">
        <f>"52340022"</f>
        <v>52340022</v>
      </c>
      <c r="D1670" s="10"/>
      <c r="E1670" s="14" t="s">
        <v>15</v>
      </c>
    </row>
    <row r="1671" spans="1:5" ht="15.75" x14ac:dyDescent="0.25">
      <c r="A1671" s="4">
        <v>12</v>
      </c>
      <c r="B1671" t="str">
        <f>"CONTATOR DE POTENCIA  AC3 50 A 24VDC - DILM50"</f>
        <v>CONTATOR DE POTENCIA  AC3 50 A 24VDC - DILM50</v>
      </c>
      <c r="C1671" t="str">
        <f>"52340024"</f>
        <v>52340024</v>
      </c>
      <c r="D1671" s="9"/>
      <c r="E1671" s="14" t="s">
        <v>15</v>
      </c>
    </row>
    <row r="1672" spans="1:5" ht="15.75" x14ac:dyDescent="0.25">
      <c r="A1672" s="5">
        <v>10</v>
      </c>
      <c r="B1672" s="6" t="str">
        <f>"CONTATOR DE POTENCIA  AC3 7A 1NF 24VDC - DILM7-01"</f>
        <v>CONTATOR DE POTENCIA  AC3 7A 1NF 24VDC - DILM7-01</v>
      </c>
      <c r="C1672" s="6" t="str">
        <f>"52340026"</f>
        <v>52340026</v>
      </c>
      <c r="D1672" s="10"/>
      <c r="E1672" s="14" t="s">
        <v>15</v>
      </c>
    </row>
    <row r="1673" spans="1:5" ht="15.75" x14ac:dyDescent="0.25">
      <c r="A1673" s="4">
        <v>2</v>
      </c>
      <c r="B1673" t="str">
        <f>"KIT DE MOTAGEM PARA CHAVE DE REVERSÃO"</f>
        <v>KIT DE MOTAGEM PARA CHAVE DE REVERSÃO</v>
      </c>
      <c r="C1673" t="str">
        <f>"52340027"</f>
        <v>52340027</v>
      </c>
      <c r="D1673" s="9"/>
      <c r="E1673" s="14" t="s">
        <v>15</v>
      </c>
    </row>
    <row r="1674" spans="1:5" ht="15.75" x14ac:dyDescent="0.25">
      <c r="A1674" s="5">
        <v>8</v>
      </c>
      <c r="B1674" s="6" t="str">
        <f>"CONTATOR DE POTENCIA AC3 50 A - Paraf. Hallen -1NA+1NF 24VDC"</f>
        <v>CONTATOR DE POTENCIA AC3 50 A - Paraf. Hallen -1NA+1NF 24VDC</v>
      </c>
      <c r="C1674" s="6" t="str">
        <f>"52340029"</f>
        <v>52340029</v>
      </c>
      <c r="D1674" s="10"/>
      <c r="E1674" s="14" t="s">
        <v>15</v>
      </c>
    </row>
    <row r="1675" spans="1:5" ht="15.75" x14ac:dyDescent="0.25">
      <c r="A1675" s="4">
        <v>2</v>
      </c>
      <c r="B1675" t="str">
        <f>"CONTATOR AUXILIAR (MINI) 3NA + 1NF (24VDC)"</f>
        <v>CONTATOR AUXILIAR (MINI) 3NA + 1NF (24VDC)</v>
      </c>
      <c r="C1675" t="str">
        <f>"52340031"</f>
        <v>52340031</v>
      </c>
      <c r="D1675" s="9"/>
      <c r="E1675" s="14" t="s">
        <v>15</v>
      </c>
    </row>
    <row r="1676" spans="1:5" ht="15.75" x14ac:dyDescent="0.25">
      <c r="A1676" s="5">
        <v>16</v>
      </c>
      <c r="B1676" s="6" t="str">
        <f>"CONTATOR DE POTENCIA  AC3 9A 1NA 24VDC - DILM9-10"</f>
        <v>CONTATOR DE POTENCIA  AC3 9A 1NA 24VDC - DILM9-10</v>
      </c>
      <c r="C1676" s="6" t="str">
        <f>"52340034"</f>
        <v>52340034</v>
      </c>
      <c r="D1676" s="10"/>
      <c r="E1676" s="14" t="s">
        <v>15</v>
      </c>
    </row>
    <row r="1677" spans="1:5" ht="15.75" x14ac:dyDescent="0.25">
      <c r="A1677" s="4">
        <v>7</v>
      </c>
      <c r="B1677" t="str">
        <f>"CONTATOR DE POTENCIA  AC3 7A 1NA 24VDC - DILM7-10"</f>
        <v>CONTATOR DE POTENCIA  AC3 7A 1NA 24VDC - DILM7-10</v>
      </c>
      <c r="C1677" t="str">
        <f>"52340039"</f>
        <v>52340039</v>
      </c>
      <c r="D1677" s="9"/>
      <c r="E1677" s="14" t="s">
        <v>15</v>
      </c>
    </row>
    <row r="1678" spans="1:5" ht="15.75" x14ac:dyDescent="0.25">
      <c r="A1678" s="5">
        <v>58</v>
      </c>
      <c r="B1678" s="6" t="str">
        <f>"DIODO RODA LIVRE PARA CONTATOR DC"</f>
        <v>DIODO RODA LIVRE PARA CONTATOR DC</v>
      </c>
      <c r="C1678" s="6" t="str">
        <f>"52340047"</f>
        <v>52340047</v>
      </c>
      <c r="D1678" s="10"/>
      <c r="E1678" s="14" t="s">
        <v>15</v>
      </c>
    </row>
    <row r="1679" spans="1:5" ht="15.75" x14ac:dyDescent="0.25">
      <c r="A1679" s="4">
        <v>2</v>
      </c>
      <c r="B1679" t="str">
        <f>"CONTROLADOR DE TEMPERATURA  48 X 96mm P/ RESIST. (PROFIBUS)"</f>
        <v>CONTROLADOR DE TEMPERATURA  48 X 96mm P/ RESIST. (PROFIBUS)</v>
      </c>
      <c r="C1679" t="str">
        <f>"52380030"</f>
        <v>52380030</v>
      </c>
      <c r="D1679" s="9"/>
      <c r="E1679" s="14" t="s">
        <v>15</v>
      </c>
    </row>
    <row r="1680" spans="1:5" ht="15.75" x14ac:dyDescent="0.25">
      <c r="A1680" s="5">
        <v>1</v>
      </c>
      <c r="B1680" s="6" t="str">
        <f>"CONTROLADOR XM2100"</f>
        <v>CONTROLADOR XM2100</v>
      </c>
      <c r="C1680" s="6" t="str">
        <f>"52380412"</f>
        <v>52380412</v>
      </c>
      <c r="D1680" s="10"/>
      <c r="E1680" s="14" t="s">
        <v>15</v>
      </c>
    </row>
    <row r="1681" spans="1:5" ht="15.75" x14ac:dyDescent="0.25">
      <c r="A1681" s="4">
        <v>1</v>
      </c>
      <c r="B1681" t="str">
        <f>"CONTROLADOR XM2200"</f>
        <v>CONTROLADOR XM2200</v>
      </c>
      <c r="C1681" t="str">
        <f>"52380413"</f>
        <v>52380413</v>
      </c>
      <c r="D1681" s="9"/>
      <c r="E1681" s="14" t="s">
        <v>15</v>
      </c>
    </row>
    <row r="1682" spans="1:5" ht="15.75" x14ac:dyDescent="0.25">
      <c r="A1682" s="5">
        <v>1</v>
      </c>
      <c r="B1682" s="6" t="str">
        <f>"CONTROLADOR XFE01.1-FB-11"</f>
        <v>CONTROLADOR XFE01.1-FB-11</v>
      </c>
      <c r="C1682" s="6" t="str">
        <f>"52380414"</f>
        <v>52380414</v>
      </c>
      <c r="D1682" s="10"/>
      <c r="E1682" s="14" t="s">
        <v>15</v>
      </c>
    </row>
    <row r="1683" spans="1:5" ht="15.75" x14ac:dyDescent="0.25">
      <c r="A1683" s="4">
        <v>1</v>
      </c>
      <c r="B1683" t="str">
        <f>"CONTROLADOR CML 25.1-PN-400-N-NNC1-NW"</f>
        <v>CONTROLADOR CML 25.1-PN-400-N-NNC1-NW</v>
      </c>
      <c r="C1683" t="str">
        <f>"52380418"</f>
        <v>52380418</v>
      </c>
      <c r="D1683" s="9"/>
      <c r="E1683" s="14" t="s">
        <v>15</v>
      </c>
    </row>
    <row r="1684" spans="1:5" ht="15.75" x14ac:dyDescent="0.25">
      <c r="A1684" s="5">
        <v>1</v>
      </c>
      <c r="B1684" s="6" t="str">
        <f>"CONTROLADOR XFE01.1-FB-10"</f>
        <v>CONTROLADOR XFE01.1-FB-10</v>
      </c>
      <c r="C1684" s="6" t="str">
        <f>"52380420"</f>
        <v>52380420</v>
      </c>
      <c r="D1684" s="10"/>
      <c r="E1684" s="14" t="s">
        <v>15</v>
      </c>
    </row>
    <row r="1685" spans="1:5" ht="15.75" x14ac:dyDescent="0.25">
      <c r="A1685" s="4">
        <v>2</v>
      </c>
      <c r="B1685" t="str">
        <f>"CONTROLADOR UNIPOINT mV"</f>
        <v>CONTROLADOR UNIPOINT mV</v>
      </c>
      <c r="C1685" t="str">
        <f>"52380622"</f>
        <v>52380622</v>
      </c>
      <c r="D1685" s="9"/>
      <c r="E1685" s="14" t="s">
        <v>15</v>
      </c>
    </row>
    <row r="1686" spans="1:5" ht="15.75" x14ac:dyDescent="0.25">
      <c r="A1686" s="5">
        <v>2</v>
      </c>
      <c r="B1686" s="6" t="str">
        <f>"CONTROLE REMOTO SEM FIO  PARA 10 BOTOES + EMERGENCIA + START"</f>
        <v>CONTROLE REMOTO SEM FIO  PARA 10 BOTOES + EMERGENCIA + START</v>
      </c>
      <c r="C1686" s="6" t="str">
        <f>"52400002"</f>
        <v>52400002</v>
      </c>
      <c r="D1686" s="10"/>
      <c r="E1686" s="14" t="s">
        <v>15</v>
      </c>
    </row>
    <row r="1687" spans="1:5" ht="15.75" x14ac:dyDescent="0.25">
      <c r="A1687" s="4">
        <v>40</v>
      </c>
      <c r="B1687" t="str">
        <f>"CONVERSOR COMPACTO HCS01.1E-W0009-A-02-E-S3-EC-NN-L3-NN-FW"</f>
        <v>CONVERSOR COMPACTO HCS01.1E-W0009-A-02-E-S3-EC-NN-L3-NN-FW</v>
      </c>
      <c r="C1687" t="str">
        <f>"52420223"</f>
        <v>52420223</v>
      </c>
      <c r="D1687" s="9"/>
      <c r="E1687" s="14" t="s">
        <v>15</v>
      </c>
    </row>
    <row r="1688" spans="1:5" ht="15.75" x14ac:dyDescent="0.25">
      <c r="A1688" s="5">
        <v>1</v>
      </c>
      <c r="B1688" s="6" t="str">
        <f>"Cordão para chave c/ tic tac na nuca c/ logo flexopower"</f>
        <v>Cordão para chave c/ tic tac na nuca c/ logo flexopower</v>
      </c>
      <c r="C1688" s="6" t="str">
        <f>"5245R010"</f>
        <v>5245R010</v>
      </c>
      <c r="D1688" s="10"/>
      <c r="E1688" s="14" t="s">
        <v>15</v>
      </c>
    </row>
    <row r="1689" spans="1:5" ht="15.75" x14ac:dyDescent="0.25">
      <c r="A1689" s="4">
        <v>2</v>
      </c>
      <c r="B1689" t="str">
        <f>"DERIVADOR P/ALIMENTAÇAO ELETRICA TRIPOLAR - 4 PONTOS"</f>
        <v>DERIVADOR P/ALIMENTAÇAO ELETRICA TRIPOLAR - 4 PONTOS</v>
      </c>
      <c r="C1689" t="str">
        <f>"52660003"</f>
        <v>52660003</v>
      </c>
      <c r="D1689" s="9"/>
      <c r="E1689" s="14" t="s">
        <v>15</v>
      </c>
    </row>
    <row r="1690" spans="1:5" ht="15.75" x14ac:dyDescent="0.25">
      <c r="A1690" s="5">
        <v>1</v>
      </c>
      <c r="B1690" s="6" t="str">
        <f>"DERIVADOR P/ALIMENTAÇAO ELETRICA TRIPOLAR - 5 PONTOS"</f>
        <v>DERIVADOR P/ALIMENTAÇAO ELETRICA TRIPOLAR - 5 PONTOS</v>
      </c>
      <c r="C1690" s="6" t="str">
        <f>"52660004"</f>
        <v>52660004</v>
      </c>
      <c r="D1690" s="10"/>
      <c r="E1690" s="14" t="s">
        <v>15</v>
      </c>
    </row>
    <row r="1691" spans="1:5" ht="15.75" x14ac:dyDescent="0.25">
      <c r="A1691" s="4">
        <v>1</v>
      </c>
      <c r="B1691" t="str">
        <f>"DISJUNTOR MONOPOLAR DE 16 A - CLASSE C - 4,5 KA"</f>
        <v>DISJUNTOR MONOPOLAR DE 16 A - CLASSE C - 4,5 KA</v>
      </c>
      <c r="C1691" t="str">
        <f>"52740005"</f>
        <v>52740005</v>
      </c>
      <c r="D1691" s="9"/>
      <c r="E1691" s="14" t="s">
        <v>15</v>
      </c>
    </row>
    <row r="1692" spans="1:5" ht="15.75" x14ac:dyDescent="0.25">
      <c r="A1692" s="5">
        <v>4</v>
      </c>
      <c r="B1692" s="6" t="str">
        <f>"DISJUNTOR MONOPOLAR DE 2A - CURVA C - 4,5 KA"</f>
        <v>DISJUNTOR MONOPOLAR DE 2A - CURVA C - 4,5 KA</v>
      </c>
      <c r="C1692" s="6" t="str">
        <f>"52740010"</f>
        <v>52740010</v>
      </c>
      <c r="D1692" s="10"/>
      <c r="E1692" s="14" t="s">
        <v>15</v>
      </c>
    </row>
    <row r="1693" spans="1:5" ht="15.75" x14ac:dyDescent="0.25">
      <c r="A1693" s="4">
        <v>8</v>
      </c>
      <c r="B1693" t="str">
        <f>"DISJUNTOR BIPOLAR DE 2 A - CLASSE C"</f>
        <v>DISJUNTOR BIPOLAR DE 2 A - CLASSE C</v>
      </c>
      <c r="C1693" t="str">
        <f>"52740100"</f>
        <v>52740100</v>
      </c>
      <c r="D1693" s="9"/>
      <c r="E1693" s="14" t="s">
        <v>15</v>
      </c>
    </row>
    <row r="1694" spans="1:5" ht="15.75" x14ac:dyDescent="0.25">
      <c r="A1694" s="5">
        <v>4</v>
      </c>
      <c r="B1694" s="6" t="str">
        <f>"DISJUNTOR BIPOLAR DE 10 A - CLASSE C"</f>
        <v>DISJUNTOR BIPOLAR DE 10 A - CLASSE C</v>
      </c>
      <c r="C1694" s="6" t="str">
        <f>"52740101"</f>
        <v>52740101</v>
      </c>
      <c r="D1694" s="10"/>
      <c r="E1694" s="14" t="s">
        <v>15</v>
      </c>
    </row>
    <row r="1695" spans="1:5" ht="15.75" x14ac:dyDescent="0.25">
      <c r="A1695" s="4">
        <v>2</v>
      </c>
      <c r="B1695" t="str">
        <f>"DISJUNTOR BIPOLAR DE 16 A CURVA C - 4,5 KA"</f>
        <v>DISJUNTOR BIPOLAR DE 16 A CURVA C - 4,5 KA</v>
      </c>
      <c r="C1695" t="str">
        <f>"52740102"</f>
        <v>52740102</v>
      </c>
      <c r="D1695" s="9"/>
      <c r="E1695" s="14" t="s">
        <v>15</v>
      </c>
    </row>
    <row r="1696" spans="1:5" ht="15.75" x14ac:dyDescent="0.25">
      <c r="A1696" s="5">
        <v>1</v>
      </c>
      <c r="B1696" s="6" t="str">
        <f>"DISJUNTOR BIPOLAR DE 32 A - CLASSE C"</f>
        <v>DISJUNTOR BIPOLAR DE 32 A - CLASSE C</v>
      </c>
      <c r="C1696" s="6" t="str">
        <f>"52740103"</f>
        <v>52740103</v>
      </c>
      <c r="D1696" s="10"/>
      <c r="E1696" s="14" t="s">
        <v>15</v>
      </c>
    </row>
    <row r="1697" spans="1:5" ht="15.75" x14ac:dyDescent="0.25">
      <c r="A1697" s="4">
        <v>13</v>
      </c>
      <c r="B1697" t="str">
        <f>"DISJUNTOR BIPOLAR DE 6 A - CLASSE C"</f>
        <v>DISJUNTOR BIPOLAR DE 6 A - CLASSE C</v>
      </c>
      <c r="C1697" t="str">
        <f>"52740105"</f>
        <v>52740105</v>
      </c>
      <c r="D1697" s="9"/>
      <c r="E1697" s="14" t="s">
        <v>15</v>
      </c>
    </row>
    <row r="1698" spans="1:5" ht="15.75" x14ac:dyDescent="0.25">
      <c r="A1698" s="5">
        <v>1</v>
      </c>
      <c r="B1698" s="6" t="str">
        <f>"DISJUNTOR BIPOLAR DE 1 A - CLASSE C"</f>
        <v>DISJUNTOR BIPOLAR DE 1 A - CLASSE C</v>
      </c>
      <c r="C1698" s="6" t="str">
        <f>"52740113"</f>
        <v>52740113</v>
      </c>
      <c r="D1698" s="10"/>
      <c r="E1698" s="14" t="s">
        <v>15</v>
      </c>
    </row>
    <row r="1699" spans="1:5" ht="15.75" x14ac:dyDescent="0.25">
      <c r="A1699" s="4">
        <v>1</v>
      </c>
      <c r="B1699" t="str">
        <f>"DISJUNTOR BIPOLAR DE 20 A - CLASSE D"</f>
        <v>DISJUNTOR BIPOLAR DE 20 A - CLASSE D</v>
      </c>
      <c r="C1699" t="str">
        <f>"52740140"</f>
        <v>52740140</v>
      </c>
      <c r="D1699" s="9"/>
      <c r="E1699" s="14" t="s">
        <v>15</v>
      </c>
    </row>
    <row r="1700" spans="1:5" ht="15.75" x14ac:dyDescent="0.25">
      <c r="A1700" s="5">
        <v>1</v>
      </c>
      <c r="B1700" s="6" t="str">
        <f>"DISJUNTOR BIPOLAR DE 32 A - CLASSE D"</f>
        <v>DISJUNTOR BIPOLAR DE 32 A - CLASSE D</v>
      </c>
      <c r="C1700" s="6" t="str">
        <f>"52740144"</f>
        <v>52740144</v>
      </c>
      <c r="D1700" s="10"/>
      <c r="E1700" s="14" t="s">
        <v>15</v>
      </c>
    </row>
    <row r="1701" spans="1:5" ht="15.75" x14ac:dyDescent="0.25">
      <c r="A1701" s="4">
        <v>1</v>
      </c>
      <c r="B1701" t="str">
        <f>"DISJUNTOR TRIPOLAR DE 2 A - CLASSE C"</f>
        <v>DISJUNTOR TRIPOLAR DE 2 A - CLASSE C</v>
      </c>
      <c r="C1701" t="str">
        <f>"52740200"</f>
        <v>52740200</v>
      </c>
      <c r="D1701" s="9"/>
      <c r="E1701" s="14" t="s">
        <v>15</v>
      </c>
    </row>
    <row r="1702" spans="1:5" ht="15.75" x14ac:dyDescent="0.25">
      <c r="A1702" s="5">
        <v>8</v>
      </c>
      <c r="B1702" s="6" t="str">
        <f>"DISJUNTOR TRIPOLAR DE 40 A - CLASSE B"</f>
        <v>DISJUNTOR TRIPOLAR DE 40 A - CLASSE B</v>
      </c>
      <c r="C1702" s="6" t="str">
        <f>"52740203"</f>
        <v>52740203</v>
      </c>
      <c r="D1702" s="10"/>
      <c r="E1702" s="14" t="s">
        <v>15</v>
      </c>
    </row>
    <row r="1703" spans="1:5" ht="15.75" x14ac:dyDescent="0.25">
      <c r="A1703" s="4">
        <v>1</v>
      </c>
      <c r="B1703" t="str">
        <f>"DISJUNTOR TRIPOLAR DE 400 A"</f>
        <v>DISJUNTOR TRIPOLAR DE 400 A</v>
      </c>
      <c r="C1703" t="str">
        <f>"52740206"</f>
        <v>52740206</v>
      </c>
      <c r="D1703" s="9"/>
      <c r="E1703" s="14" t="s">
        <v>15</v>
      </c>
    </row>
    <row r="1704" spans="1:5" ht="15.75" x14ac:dyDescent="0.25">
      <c r="A1704" s="5">
        <v>1</v>
      </c>
      <c r="B1704" s="6" t="str">
        <f>"DISJUNTOR TRIPOLAR DE 40 A - CLASSE C"</f>
        <v>DISJUNTOR TRIPOLAR DE 40 A - CLASSE C</v>
      </c>
      <c r="C1704" s="6" t="str">
        <f>"52740212"</f>
        <v>52740212</v>
      </c>
      <c r="D1704" s="10"/>
      <c r="E1704" s="14" t="s">
        <v>15</v>
      </c>
    </row>
    <row r="1705" spans="1:5" ht="15.75" x14ac:dyDescent="0.25">
      <c r="A1705" s="4">
        <v>1</v>
      </c>
      <c r="B1705" t="str">
        <f>"DISJUNTOR TRIPOLAR DE 20 A - CLASSE C"</f>
        <v>DISJUNTOR TRIPOLAR DE 20 A - CLASSE C</v>
      </c>
      <c r="C1705" t="str">
        <f>"52740214"</f>
        <v>52740214</v>
      </c>
      <c r="D1705" s="9"/>
      <c r="E1705" s="14" t="s">
        <v>15</v>
      </c>
    </row>
    <row r="1706" spans="1:5" ht="15.75" x14ac:dyDescent="0.25">
      <c r="A1706" s="5">
        <v>5</v>
      </c>
      <c r="B1706" s="6" t="str">
        <f>"MODULO MONITORADOR CORRENTE 4 CANAIS 4/6/8/10A"</f>
        <v>MODULO MONITORADOR CORRENTE 4 CANAIS 4/6/8/10A</v>
      </c>
      <c r="C1706" s="6" t="str">
        <f>"52740252"</f>
        <v>52740252</v>
      </c>
      <c r="D1706" s="10"/>
      <c r="E1706" s="14" t="s">
        <v>15</v>
      </c>
    </row>
    <row r="1707" spans="1:5" ht="15.75" x14ac:dyDescent="0.25">
      <c r="A1707" s="4">
        <v>6</v>
      </c>
      <c r="B1707" t="str">
        <f>"MODULO MONITORADOR CORRENTE 4 CANAIS 1/2/4/6A"</f>
        <v>MODULO MONITORADOR CORRENTE 4 CANAIS 1/2/4/6A</v>
      </c>
      <c r="C1707" t="str">
        <f>"52740255"</f>
        <v>52740255</v>
      </c>
      <c r="D1707" s="9"/>
      <c r="E1707" s="14" t="s">
        <v>15</v>
      </c>
    </row>
    <row r="1708" spans="1:5" ht="15.75" x14ac:dyDescent="0.25">
      <c r="A1708" s="5">
        <v>5</v>
      </c>
      <c r="B1708" s="6" t="str">
        <f>"DISPLAY DE 7 SEGMENTOS - Tipo Led  ( Catodo Comum ) VM"</f>
        <v>DISPLAY DE 7 SEGMENTOS - Tipo Led  ( Catodo Comum ) VM</v>
      </c>
      <c r="C1708" s="6" t="str">
        <f>"52760001"</f>
        <v>52760001</v>
      </c>
      <c r="D1708" s="10"/>
      <c r="E1708" s="14" t="s">
        <v>15</v>
      </c>
    </row>
    <row r="1709" spans="1:5" ht="15.75" x14ac:dyDescent="0.25">
      <c r="A1709" s="4">
        <v>2</v>
      </c>
      <c r="B1709" t="str">
        <f>"Distribuidor Passivo 8 Vias - Cabo Injetado 15 Metros"</f>
        <v>Distribuidor Passivo 8 Vias - Cabo Injetado 15 Metros</v>
      </c>
      <c r="C1709" t="str">
        <f>"52790121"</f>
        <v>52790121</v>
      </c>
      <c r="D1709" s="9"/>
      <c r="E1709" s="14" t="s">
        <v>15</v>
      </c>
    </row>
    <row r="1710" spans="1:5" ht="15.75" x14ac:dyDescent="0.25">
      <c r="A1710" s="5">
        <v>1</v>
      </c>
      <c r="B1710" s="6" t="str">
        <f>"DRIVE POT.  ACIONAMENTO S. M. 2000  Nm"</f>
        <v>DRIVE POT.  ACIONAMENTO S. M. 2000  Nm</v>
      </c>
      <c r="C1710" s="6" t="str">
        <f>"52820100"</f>
        <v>52820100</v>
      </c>
      <c r="D1710" s="10"/>
      <c r="E1710" s="14" t="s">
        <v>15</v>
      </c>
    </row>
    <row r="1711" spans="1:5" ht="15.75" x14ac:dyDescent="0.25">
      <c r="A1711" s="4">
        <v>8</v>
      </c>
      <c r="B1711" t="str">
        <f>"DRIVE DUPLO POTENCIA HMD01.1N-W0036-A-07-NNNN"</f>
        <v>DRIVE DUPLO POTENCIA HMD01.1N-W0036-A-07-NNNN</v>
      </c>
      <c r="C1711" t="str">
        <f>"52820120"</f>
        <v>52820120</v>
      </c>
      <c r="D1711" s="9"/>
      <c r="E1711" s="14" t="s">
        <v>15</v>
      </c>
    </row>
    <row r="1712" spans="1:5" ht="15.75" x14ac:dyDescent="0.25">
      <c r="A1712" s="5">
        <v>1</v>
      </c>
      <c r="B1712" s="6" t="str">
        <f>"Placa de Controle IndraDrive  CSH02.1B-ET-EC-NN-S4-NN-NN-FW"</f>
        <v>Placa de Controle IndraDrive  CSH02.1B-ET-EC-NN-S4-NN-NN-FW</v>
      </c>
      <c r="C1712" s="6" t="str">
        <f>"52820135"</f>
        <v>52820135</v>
      </c>
      <c r="D1712" s="10"/>
      <c r="E1712" s="14" t="s">
        <v>15</v>
      </c>
    </row>
    <row r="1713" spans="1:5" ht="15.75" x14ac:dyDescent="0.25">
      <c r="A1713" s="4">
        <v>7</v>
      </c>
      <c r="B1713" t="str">
        <f>"Placa de Controle IndraDrive  CDB02.1B-ET-EC-EC-NN-S4-S4-NN"</f>
        <v>Placa de Controle IndraDrive  CDB02.1B-ET-EC-EC-NN-S4-S4-NN</v>
      </c>
      <c r="C1713" t="str">
        <f>"52820136"</f>
        <v>52820136</v>
      </c>
      <c r="D1713" s="9"/>
      <c r="E1713" s="14" t="s">
        <v>15</v>
      </c>
    </row>
    <row r="1714" spans="1:5" ht="15.75" x14ac:dyDescent="0.25">
      <c r="A1714" s="5">
        <v>1</v>
      </c>
      <c r="B1714" s="6" t="str">
        <f>"Placa de Controle IndraDrive   CDB02.1B-ET-EC-EC-EM-S4-S4-NN"</f>
        <v>Placa de Controle IndraDrive   CDB02.1B-ET-EC-EC-EM-S4-S4-NN</v>
      </c>
      <c r="C1714" s="6" t="str">
        <f>"52820137"</f>
        <v>52820137</v>
      </c>
      <c r="D1714" s="10"/>
      <c r="E1714" s="14" t="s">
        <v>15</v>
      </c>
    </row>
    <row r="1715" spans="1:5" ht="15.75" x14ac:dyDescent="0.25">
      <c r="A1715" s="4">
        <v>1</v>
      </c>
      <c r="B1715" t="str">
        <f>"EIXO PROLONGADOR 600mm (BASE+PROLONGADOR) P/ LZM3/4 E NZM3/4"</f>
        <v>EIXO PROLONGADOR 600mm (BASE+PROLONGADOR) P/ LZM3/4 E NZM3/4</v>
      </c>
      <c r="C1715" t="str">
        <f>"52900121"</f>
        <v>52900121</v>
      </c>
      <c r="D1715" s="9"/>
      <c r="E1715" s="14" t="s">
        <v>15</v>
      </c>
    </row>
    <row r="1716" spans="1:5" ht="15.75" x14ac:dyDescent="0.25">
      <c r="A1716" s="5">
        <v>6</v>
      </c>
      <c r="B1716" s="6" t="str">
        <f>"ENCODER 1024 pulsos eixo vazado de 12 mm"</f>
        <v>ENCODER 1024 pulsos eixo vazado de 12 mm</v>
      </c>
      <c r="C1716" s="6" t="str">
        <f>"52960004"</f>
        <v>52960004</v>
      </c>
      <c r="D1716" s="10"/>
      <c r="E1716" s="14" t="s">
        <v>15</v>
      </c>
    </row>
    <row r="1717" spans="1:5" ht="15.75" x14ac:dyDescent="0.25">
      <c r="A1717" s="4">
        <v>1</v>
      </c>
      <c r="B1717" t="str">
        <f>"ENCODER RCN 8380"</f>
        <v>ENCODER RCN 8380</v>
      </c>
      <c r="C1717" t="str">
        <f>"52960005"</f>
        <v>52960005</v>
      </c>
      <c r="D1717" s="9"/>
      <c r="E1717" s="14" t="s">
        <v>15</v>
      </c>
    </row>
    <row r="1718" spans="1:5" ht="15.75" x14ac:dyDescent="0.25">
      <c r="A1718" s="5">
        <v>8</v>
      </c>
      <c r="B1718" s="6" t="str">
        <f>"ESTEIRA PORTA CABOS - B 045-38.52.1080 - 15 ELOS + TF"</f>
        <v>ESTEIRA PORTA CABOS - B 045-38.52.1080 - 15 ELOS + TF</v>
      </c>
      <c r="C1718" s="6" t="str">
        <f>"53120420"</f>
        <v>53120420</v>
      </c>
      <c r="D1718" s="10"/>
      <c r="E1718" s="14" t="s">
        <v>15</v>
      </c>
    </row>
    <row r="1719" spans="1:5" ht="15.75" x14ac:dyDescent="0.25">
      <c r="A1719" s="4">
        <v>4</v>
      </c>
      <c r="B1719" t="str">
        <f>"ESTEIRA PORTA CABOS - B 045-38.52.1035 - 10 ELOS + TF"</f>
        <v>ESTEIRA PORTA CABOS - B 045-38.52.1035 - 10 ELOS + TF</v>
      </c>
      <c r="C1719" t="str">
        <f>"53120422"</f>
        <v>53120422</v>
      </c>
      <c r="D1719" s="9"/>
      <c r="E1719" s="14" t="s">
        <v>15</v>
      </c>
    </row>
    <row r="1720" spans="1:5" ht="15.75" x14ac:dyDescent="0.25">
      <c r="A1720" s="5">
        <v>4</v>
      </c>
      <c r="B1720" s="6" t="str">
        <f>"ESTEIRA PORTA CABOS - B 045-38.52.855 - 09 ELOS + TF"</f>
        <v>ESTEIRA PORTA CABOS - B 045-38.52.855 - 09 ELOS + TF</v>
      </c>
      <c r="C1720" s="6" t="str">
        <f>"53120424"</f>
        <v>53120424</v>
      </c>
      <c r="D1720" s="10"/>
      <c r="E1720" s="14" t="s">
        <v>15</v>
      </c>
    </row>
    <row r="1721" spans="1:5" ht="15.75" x14ac:dyDescent="0.25">
      <c r="A1721" s="4">
        <v>4</v>
      </c>
      <c r="B1721" t="str">
        <f>"ESTEIRA PORTA CABOS - B 045-58.94.1440 - 32 ELOS + TF"</f>
        <v>ESTEIRA PORTA CABOS - B 045-58.94.1440 - 32 ELOS + TF</v>
      </c>
      <c r="C1721" t="str">
        <f>"53120428"</f>
        <v>53120428</v>
      </c>
      <c r="D1721" s="9"/>
      <c r="E1721" s="14" t="s">
        <v>15</v>
      </c>
    </row>
    <row r="1722" spans="1:5" ht="15.75" x14ac:dyDescent="0.25">
      <c r="A1722" s="5">
        <v>4</v>
      </c>
      <c r="B1722" s="6" t="str">
        <f>"ESTEIRA PORTA CABOS - B 045-58.94.1170 - 26 ELOS + TF"</f>
        <v>ESTEIRA PORTA CABOS - B 045-58.94.1170 - 26 ELOS + TF</v>
      </c>
      <c r="C1722" s="6" t="str">
        <f>"53120430"</f>
        <v>53120430</v>
      </c>
      <c r="D1722" s="10"/>
      <c r="E1722" s="14" t="s">
        <v>15</v>
      </c>
    </row>
    <row r="1723" spans="1:5" ht="15.75" x14ac:dyDescent="0.25">
      <c r="A1723" s="4">
        <v>4</v>
      </c>
      <c r="B1723" t="str">
        <f>"ESTEIRA PORTA CABOS - B 045-58.94.810 - 18 ELOS + TF"</f>
        <v>ESTEIRA PORTA CABOS - B 045-58.94.810 - 18 ELOS + TF</v>
      </c>
      <c r="C1723" t="str">
        <f>"53120432"</f>
        <v>53120432</v>
      </c>
      <c r="D1723" s="9"/>
      <c r="E1723" s="14" t="s">
        <v>15</v>
      </c>
    </row>
    <row r="1724" spans="1:5" ht="15.75" x14ac:dyDescent="0.25">
      <c r="A1724" s="5">
        <v>4</v>
      </c>
      <c r="B1724" s="6" t="str">
        <f>"ESTEIRA PORTA CABOS - B 045-58.94.720 - 17 ELOS + TF"</f>
        <v>ESTEIRA PORTA CABOS - B 045-58.94.720 - 17 ELOS + TF</v>
      </c>
      <c r="C1724" s="6" t="str">
        <f>"53120434"</f>
        <v>53120434</v>
      </c>
      <c r="D1724" s="10"/>
      <c r="E1724" s="14" t="s">
        <v>15</v>
      </c>
    </row>
    <row r="1725" spans="1:5" ht="15.75" x14ac:dyDescent="0.25">
      <c r="A1725" s="4">
        <v>5</v>
      </c>
      <c r="B1725" t="str">
        <f>"ESTEIRA PORTA CABOS - B 032-19.37.1600 - 50 ELOS + TF"</f>
        <v>ESTEIRA PORTA CABOS - B 032-19.37.1600 - 50 ELOS + TF</v>
      </c>
      <c r="C1725" t="str">
        <f>"53120436"</f>
        <v>53120436</v>
      </c>
      <c r="D1725" s="9"/>
      <c r="E1725" s="14" t="s">
        <v>15</v>
      </c>
    </row>
    <row r="1726" spans="1:5" ht="15.75" x14ac:dyDescent="0.25">
      <c r="A1726" s="5">
        <v>4</v>
      </c>
      <c r="B1726" s="6" t="str">
        <f>"ESTEIRA PORTA CABOS - B 032-19.37.1280 - 40 ELOS + TF"</f>
        <v>ESTEIRA PORTA CABOS - B 032-19.37.1280 - 40 ELOS + TF</v>
      </c>
      <c r="C1726" s="6" t="str">
        <f>"53120438"</f>
        <v>53120438</v>
      </c>
      <c r="D1726" s="10"/>
      <c r="E1726" s="14" t="s">
        <v>15</v>
      </c>
    </row>
    <row r="1727" spans="1:5" ht="15.75" x14ac:dyDescent="0.25">
      <c r="A1727" s="4">
        <v>1</v>
      </c>
      <c r="B1727" t="str">
        <f>"ETIQUETA - CAMISAS VÁLVULAS ANILOX PC 1 E 2 FLE 040"</f>
        <v>ETIQUETA - CAMISAS VÁLVULAS ANILOX PC 1 E 2 FLE 040</v>
      </c>
      <c r="C1727" t="str">
        <f>"53180001"</f>
        <v>53180001</v>
      </c>
      <c r="D1727" s="9"/>
      <c r="E1727" s="14" t="s">
        <v>15</v>
      </c>
    </row>
    <row r="1728" spans="1:5" ht="15.75" x14ac:dyDescent="0.25">
      <c r="A1728" s="5">
        <v>1</v>
      </c>
      <c r="B1728" s="6" t="str">
        <f>"ETIQUETA - CAMISAS VÁLVULAS ANILOX PC 3 E 4"</f>
        <v>ETIQUETA - CAMISAS VÁLVULAS ANILOX PC 3 E 4</v>
      </c>
      <c r="C1728" s="6" t="str">
        <f>"53180002"</f>
        <v>53180002</v>
      </c>
      <c r="D1728" s="10"/>
      <c r="E1728" s="14" t="s">
        <v>15</v>
      </c>
    </row>
    <row r="1729" spans="1:5" ht="15.75" x14ac:dyDescent="0.25">
      <c r="A1729" s="4">
        <v>1</v>
      </c>
      <c r="B1729" t="str">
        <f>"ETIQUETA - CAMISAS VÁLVULAS ANILOX PC 5 E 6"</f>
        <v>ETIQUETA - CAMISAS VÁLVULAS ANILOX PC 5 E 6</v>
      </c>
      <c r="C1729" t="str">
        <f>"53180003"</f>
        <v>53180003</v>
      </c>
      <c r="D1729" s="9"/>
      <c r="E1729" s="14" t="s">
        <v>15</v>
      </c>
    </row>
    <row r="1730" spans="1:5" ht="15.75" x14ac:dyDescent="0.25">
      <c r="A1730" s="5">
        <v>1</v>
      </c>
      <c r="B1730" s="6" t="str">
        <f>"ETIQUETA - CAMISAS VÁLVULAS ANILOX PC 7 E 8"</f>
        <v>ETIQUETA - CAMISAS VÁLVULAS ANILOX PC 7 E 8</v>
      </c>
      <c r="C1730" s="6" t="str">
        <f>"53180004"</f>
        <v>53180004</v>
      </c>
      <c r="D1730" s="10"/>
      <c r="E1730" s="14" t="s">
        <v>15</v>
      </c>
    </row>
    <row r="1731" spans="1:5" ht="15.75" x14ac:dyDescent="0.25">
      <c r="A1731" s="4">
        <v>1</v>
      </c>
      <c r="B1731" t="str">
        <f>"ETIQUETA - MESA DE CONFERENCIA"</f>
        <v>ETIQUETA - MESA DE CONFERENCIA</v>
      </c>
      <c r="C1731" t="str">
        <f>"53180009"</f>
        <v>53180009</v>
      </c>
      <c r="D1731" s="9"/>
      <c r="E1731" s="14" t="s">
        <v>15</v>
      </c>
    </row>
    <row r="1732" spans="1:5" ht="15.75" x14ac:dyDescent="0.25">
      <c r="A1732" s="5">
        <v>1</v>
      </c>
      <c r="B1732" s="6" t="str">
        <f>"ETIQUETA -  BATISMO"</f>
        <v>ETIQUETA -  BATISMO</v>
      </c>
      <c r="C1732" s="6" t="str">
        <f>"53180010"</f>
        <v>53180010</v>
      </c>
      <c r="D1732" s="10"/>
      <c r="E1732" s="14" t="s">
        <v>15</v>
      </c>
    </row>
    <row r="1733" spans="1:5" ht="15.75" x14ac:dyDescent="0.25">
      <c r="A1733" s="4">
        <v>1</v>
      </c>
      <c r="B1733" t="str">
        <f>"ETIQUETA -CONTRA PRESSAO TAMBOR S/ VISCOSIMETRO - 120 X 200"</f>
        <v>ETIQUETA -CONTRA PRESSAO TAMBOR S/ VISCOSIMETRO - 120 X 200</v>
      </c>
      <c r="C1733" t="str">
        <f>"53180017"</f>
        <v>53180017</v>
      </c>
      <c r="D1733" s="9"/>
      <c r="E1733" s="14" t="s">
        <v>15</v>
      </c>
    </row>
    <row r="1734" spans="1:5" ht="15.75" x14ac:dyDescent="0.25">
      <c r="A1734" s="5">
        <v>1</v>
      </c>
      <c r="B1734" s="6" t="str">
        <f>"ETIQUETA POSIÇÃO COR"</f>
        <v>ETIQUETA POSIÇÃO COR</v>
      </c>
      <c r="C1734" s="6" t="str">
        <f>"53180024"</f>
        <v>53180024</v>
      </c>
      <c r="D1734" s="10"/>
      <c r="E1734" s="14" t="s">
        <v>15</v>
      </c>
    </row>
    <row r="1735" spans="1:5" ht="15.75" x14ac:dyDescent="0.25">
      <c r="A1735" s="4">
        <v>4</v>
      </c>
      <c r="B1735" t="str">
        <f>"ETIQUETA RETANGULAR DE ATENÇAO  DESBOBINADOR"</f>
        <v>ETIQUETA RETANGULAR DE ATENÇAO  DESBOBINADOR</v>
      </c>
      <c r="C1735" t="str">
        <f>"53180028"</f>
        <v>53180028</v>
      </c>
      <c r="D1735" s="9"/>
      <c r="E1735" s="14" t="s">
        <v>15</v>
      </c>
    </row>
    <row r="1736" spans="1:5" ht="15.75" x14ac:dyDescent="0.25">
      <c r="A1736" s="5">
        <v>17</v>
      </c>
      <c r="B1736" s="6" t="str">
        <f>"ETIQUETA SEG. REDONDA - PE"</f>
        <v>ETIQUETA SEG. REDONDA - PE</v>
      </c>
      <c r="C1736" s="6" t="str">
        <f>"53180030"</f>
        <v>53180030</v>
      </c>
      <c r="D1736" s="10"/>
      <c r="E1736" s="14" t="s">
        <v>15</v>
      </c>
    </row>
    <row r="1737" spans="1:5" ht="15.75" x14ac:dyDescent="0.25">
      <c r="A1737" s="4">
        <v>2</v>
      </c>
      <c r="B1737" t="str">
        <f>"ETIQUETA SEG. TRIANG. -  CALOR"</f>
        <v>ETIQUETA SEG. TRIANG. -  CALOR</v>
      </c>
      <c r="C1737" t="str">
        <f>"53180031"</f>
        <v>53180031</v>
      </c>
      <c r="D1737" s="9"/>
      <c r="E1737" s="14" t="s">
        <v>15</v>
      </c>
    </row>
    <row r="1738" spans="1:5" ht="15.75" x14ac:dyDescent="0.25">
      <c r="A1738" s="5">
        <v>2</v>
      </c>
      <c r="B1738" s="6" t="str">
        <f>"ETIQUETA SEG. TRIANG. -  MAO NO CONTRA PRES."</f>
        <v>ETIQUETA SEG. TRIANG. -  MAO NO CONTRA PRES.</v>
      </c>
      <c r="C1738" s="6" t="str">
        <f>"53180032"</f>
        <v>53180032</v>
      </c>
      <c r="D1738" s="10"/>
      <c r="E1738" s="14" t="s">
        <v>15</v>
      </c>
    </row>
    <row r="1739" spans="1:5" ht="15.75" x14ac:dyDescent="0.25">
      <c r="A1739" s="4">
        <v>16</v>
      </c>
      <c r="B1739" t="str">
        <f>"ETIQUETA SEG. TRIANG. -  RAIO"</f>
        <v>ETIQUETA SEG. TRIANG. -  RAIO</v>
      </c>
      <c r="C1739" t="str">
        <f>"53180033"</f>
        <v>53180033</v>
      </c>
      <c r="D1739" s="9"/>
      <c r="E1739" s="14" t="s">
        <v>15</v>
      </c>
    </row>
    <row r="1740" spans="1:5" ht="15.75" x14ac:dyDescent="0.25">
      <c r="A1740" s="5">
        <v>4</v>
      </c>
      <c r="B1740" s="6" t="str">
        <f>"ETIQUETA SEG. TRIANG. - MAO NA ENGRENAGEM"</f>
        <v>ETIQUETA SEG. TRIANG. - MAO NA ENGRENAGEM</v>
      </c>
      <c r="C1740" s="6" t="str">
        <f>"53180034"</f>
        <v>53180034</v>
      </c>
      <c r="D1740" s="10"/>
      <c r="E1740" s="14" t="s">
        <v>15</v>
      </c>
    </row>
    <row r="1741" spans="1:5" ht="15.75" x14ac:dyDescent="0.25">
      <c r="A1741" s="4">
        <v>1</v>
      </c>
      <c r="B1741" t="str">
        <f>"ETIQUETA COMANDO DESBOBINADOR BETA NR12"</f>
        <v>ETIQUETA COMANDO DESBOBINADOR BETA NR12</v>
      </c>
      <c r="C1741" t="str">
        <f>"53180044"</f>
        <v>53180044</v>
      </c>
      <c r="D1741" s="9"/>
      <c r="E1741" s="14" t="s">
        <v>15</v>
      </c>
    </row>
    <row r="1742" spans="1:5" ht="15.75" x14ac:dyDescent="0.25">
      <c r="A1742" s="5">
        <v>4</v>
      </c>
      <c r="B1742" s="6" t="str">
        <f>"ETIQUETA DO G I AVISO PC/ANILOX/POSIÇAO COR V2"</f>
        <v>ETIQUETA DO G I AVISO PC/ANILOX/POSIÇAO COR V2</v>
      </c>
      <c r="C1742" s="6" t="str">
        <f>"53180046"</f>
        <v>53180046</v>
      </c>
      <c r="D1742" s="10"/>
      <c r="E1742" s="14" t="s">
        <v>15</v>
      </c>
    </row>
    <row r="1743" spans="1:5" ht="15.75" x14ac:dyDescent="0.25">
      <c r="A1743" s="4">
        <v>1</v>
      </c>
      <c r="B1743" t="str">
        <f>"ETIQUETA - CONTRA PRESSAO CALANDRA"</f>
        <v>ETIQUETA - CONTRA PRESSAO CALANDRA</v>
      </c>
      <c r="C1743" t="str">
        <f>"53180047"</f>
        <v>53180047</v>
      </c>
      <c r="D1743" s="9"/>
      <c r="E1743" s="14" t="s">
        <v>15</v>
      </c>
    </row>
    <row r="1744" spans="1:5" ht="15.75" x14ac:dyDescent="0.25">
      <c r="A1744" s="5">
        <v>2</v>
      </c>
      <c r="B1744" s="6" t="str">
        <f>"ETIQUETA ATENÇÃO HABILITA ACERTO"</f>
        <v>ETIQUETA ATENÇÃO HABILITA ACERTO</v>
      </c>
      <c r="C1744" s="6" t="str">
        <f>"53180049"</f>
        <v>53180049</v>
      </c>
      <c r="D1744" s="10"/>
      <c r="E1744" s="14" t="s">
        <v>15</v>
      </c>
    </row>
    <row r="1745" spans="1:5" ht="15.75" x14ac:dyDescent="0.25">
      <c r="A1745" s="4">
        <v>1</v>
      </c>
      <c r="B1745" t="str">
        <f>"ETIQUETA RETANGULAR COMPACTADOR MT1/MT2"</f>
        <v>ETIQUETA RETANGULAR COMPACTADOR MT1/MT2</v>
      </c>
      <c r="C1745" t="str">
        <f>"53180050"</f>
        <v>53180050</v>
      </c>
      <c r="D1745" s="9"/>
      <c r="E1745" s="14" t="s">
        <v>15</v>
      </c>
    </row>
    <row r="1746" spans="1:5" ht="15.75" x14ac:dyDescent="0.25">
      <c r="A1746" s="5">
        <v>1</v>
      </c>
      <c r="B1746" s="6" t="str">
        <f>"ETIQUETA CHAVE - CALIBRAÇÃO - CNC"</f>
        <v>ETIQUETA CHAVE - CALIBRAÇÃO - CNC</v>
      </c>
      <c r="C1746" s="6" t="str">
        <f>"53180053"</f>
        <v>53180053</v>
      </c>
      <c r="D1746" s="10"/>
      <c r="E1746" s="14" t="s">
        <v>15</v>
      </c>
    </row>
    <row r="1747" spans="1:5" ht="15.75" x14ac:dyDescent="0.25">
      <c r="A1747" s="4">
        <v>4</v>
      </c>
      <c r="B1747" t="str">
        <f>"ETIQUETA REARME PORTA"</f>
        <v>ETIQUETA REARME PORTA</v>
      </c>
      <c r="C1747" t="str">
        <f>"53180054"</f>
        <v>53180054</v>
      </c>
      <c r="D1747" s="9"/>
      <c r="E1747" s="14" t="s">
        <v>15</v>
      </c>
    </row>
    <row r="1748" spans="1:5" ht="15.75" x14ac:dyDescent="0.25">
      <c r="A1748" s="5">
        <v>2</v>
      </c>
      <c r="B1748" s="6" t="str">
        <f>"ETIQUETA ABRE / FECHA MANCAIS  PÇs"</f>
        <v>ETIQUETA ABRE / FECHA MANCAIS  PÇs</v>
      </c>
      <c r="C1748" s="6" t="str">
        <f>"53180055"</f>
        <v>53180055</v>
      </c>
      <c r="D1748" s="10"/>
      <c r="E1748" s="14" t="s">
        <v>15</v>
      </c>
    </row>
    <row r="1749" spans="1:5" ht="15.75" x14ac:dyDescent="0.25">
      <c r="A1749" s="4">
        <v>8</v>
      </c>
      <c r="B1749" t="str">
        <f>"ETIQUETA LIBERADO"</f>
        <v>ETIQUETA LIBERADO</v>
      </c>
      <c r="C1749" t="str">
        <f>"53180056"</f>
        <v>53180056</v>
      </c>
      <c r="D1749" s="9"/>
      <c r="E1749" s="14" t="s">
        <v>15</v>
      </c>
    </row>
    <row r="1750" spans="1:5" ht="15.75" x14ac:dyDescent="0.25">
      <c r="A1750" s="5">
        <v>1</v>
      </c>
      <c r="B1750" s="6" t="str">
        <f>"ETIQUETA ATENÇÃO      LIGAR APENAS PESSOAL AUTORIZADO"</f>
        <v>ETIQUETA ATENÇÃO      LIGAR APENAS PESSOAL AUTORIZADO</v>
      </c>
      <c r="C1750" s="6" t="str">
        <f>"53180058"</f>
        <v>53180058</v>
      </c>
      <c r="D1750" s="10"/>
      <c r="E1750" s="14" t="s">
        <v>15</v>
      </c>
    </row>
    <row r="1751" spans="1:5" ht="15.75" x14ac:dyDescent="0.25">
      <c r="A1751" s="4">
        <v>1</v>
      </c>
      <c r="B1751" t="str">
        <f>"ETIQUETA REDONDA CONTROLE REMOTO DESENCOSTA"</f>
        <v>ETIQUETA REDONDA CONTROLE REMOTO DESENCOSTA</v>
      </c>
      <c r="C1751" t="str">
        <f>"53180060"</f>
        <v>53180060</v>
      </c>
      <c r="D1751" s="9"/>
      <c r="E1751" s="14" t="s">
        <v>15</v>
      </c>
    </row>
    <row r="1752" spans="1:5" ht="15.75" x14ac:dyDescent="0.25">
      <c r="A1752" s="5">
        <v>1</v>
      </c>
      <c r="B1752" s="6" t="str">
        <f>"ETIQUETA REDONDA CONTROLE REMOTO IMPULSO"</f>
        <v>ETIQUETA REDONDA CONTROLE REMOTO IMPULSO</v>
      </c>
      <c r="C1752" s="6" t="str">
        <f>"53180061"</f>
        <v>53180061</v>
      </c>
      <c r="D1752" s="10"/>
      <c r="E1752" s="14" t="s">
        <v>15</v>
      </c>
    </row>
    <row r="1753" spans="1:5" ht="15.75" x14ac:dyDescent="0.25">
      <c r="A1753" s="4">
        <v>1</v>
      </c>
      <c r="B1753" t="str">
        <f>"ETIQUETA REDONDA CONTROLE REMOTO PC"</f>
        <v>ETIQUETA REDONDA CONTROLE REMOTO PC</v>
      </c>
      <c r="C1753" t="str">
        <f>"53180062"</f>
        <v>53180062</v>
      </c>
      <c r="D1753" s="9"/>
      <c r="E1753" s="14" t="s">
        <v>15</v>
      </c>
    </row>
    <row r="1754" spans="1:5" ht="15.75" x14ac:dyDescent="0.25">
      <c r="A1754" s="5">
        <v>1</v>
      </c>
      <c r="B1754" s="6" t="str">
        <f>"ETIQUETA REDONDA CONTROLE REMOTO ANILOX"</f>
        <v>ETIQUETA REDONDA CONTROLE REMOTO ANILOX</v>
      </c>
      <c r="C1754" s="6" t="str">
        <f>"53180063"</f>
        <v>53180063</v>
      </c>
      <c r="D1754" s="10"/>
      <c r="E1754" s="14" t="s">
        <v>15</v>
      </c>
    </row>
    <row r="1755" spans="1:5" ht="15.75" x14ac:dyDescent="0.25">
      <c r="A1755" s="4">
        <v>1</v>
      </c>
      <c r="B1755" t="str">
        <f>"ETIQUETA REDONDA CONTROLE REMOTO BLADE"</f>
        <v>ETIQUETA REDONDA CONTROLE REMOTO BLADE</v>
      </c>
      <c r="C1755" t="str">
        <f>"53180064"</f>
        <v>53180064</v>
      </c>
      <c r="D1755" s="9"/>
      <c r="E1755" s="14" t="s">
        <v>15</v>
      </c>
    </row>
    <row r="1756" spans="1:5" ht="15.75" x14ac:dyDescent="0.25">
      <c r="A1756" s="5">
        <v>1</v>
      </c>
      <c r="B1756" s="6" t="str">
        <f>"ETIQUETA REDONDA CONTROLE REMOTO MOTORIZAÇÃO AVANÇA"</f>
        <v>ETIQUETA REDONDA CONTROLE REMOTO MOTORIZAÇÃO AVANÇA</v>
      </c>
      <c r="C1756" s="6" t="str">
        <f>"53180065"</f>
        <v>53180065</v>
      </c>
      <c r="D1756" s="10"/>
      <c r="E1756" s="14" t="s">
        <v>15</v>
      </c>
    </row>
    <row r="1757" spans="1:5" ht="15.75" x14ac:dyDescent="0.25">
      <c r="A1757" s="4">
        <v>1</v>
      </c>
      <c r="B1757" t="str">
        <f>"ETIQUETA REDONDA CONTROLE REMOTO OPERADOR AVANÇA"</f>
        <v>ETIQUETA REDONDA CONTROLE REMOTO OPERADOR AVANÇA</v>
      </c>
      <c r="C1757" t="str">
        <f>"53180066"</f>
        <v>53180066</v>
      </c>
      <c r="D1757" s="9"/>
      <c r="E1757" s="14" t="s">
        <v>15</v>
      </c>
    </row>
    <row r="1758" spans="1:5" ht="15.75" x14ac:dyDescent="0.25">
      <c r="A1758" s="5">
        <v>1</v>
      </c>
      <c r="B1758" s="6" t="str">
        <f>"ETIQUETA REDONDA CONTROLE REMOTO MOTORIZAÇÃO RECUA"</f>
        <v>ETIQUETA REDONDA CONTROLE REMOTO MOTORIZAÇÃO RECUA</v>
      </c>
      <c r="C1758" s="6" t="str">
        <f>"53180067"</f>
        <v>53180067</v>
      </c>
      <c r="D1758" s="10"/>
      <c r="E1758" s="14" t="s">
        <v>15</v>
      </c>
    </row>
    <row r="1759" spans="1:5" ht="15.75" x14ac:dyDescent="0.25">
      <c r="A1759" s="4">
        <v>1</v>
      </c>
      <c r="B1759" t="str">
        <f>"ETIQUETA REDONDA CONTROLE REMOTO OPERADOR RECUA"</f>
        <v>ETIQUETA REDONDA CONTROLE REMOTO OPERADOR RECUA</v>
      </c>
      <c r="C1759" t="str">
        <f>"53180068"</f>
        <v>53180068</v>
      </c>
      <c r="D1759" s="9"/>
      <c r="E1759" s="14" t="s">
        <v>15</v>
      </c>
    </row>
    <row r="1760" spans="1:5" ht="15.75" x14ac:dyDescent="0.25">
      <c r="A1760" s="5">
        <v>1</v>
      </c>
      <c r="B1760" s="6" t="str">
        <f>"ETIQUETA REDONDA CONTROLE REMOTO AMBOS AVANÇA"</f>
        <v>ETIQUETA REDONDA CONTROLE REMOTO AMBOS AVANÇA</v>
      </c>
      <c r="C1760" s="6" t="str">
        <f>"53180069"</f>
        <v>53180069</v>
      </c>
      <c r="D1760" s="10"/>
      <c r="E1760" s="14" t="s">
        <v>15</v>
      </c>
    </row>
    <row r="1761" spans="1:5" ht="15.75" x14ac:dyDescent="0.25">
      <c r="A1761" s="4">
        <v>1</v>
      </c>
      <c r="B1761" t="str">
        <f>"ETIQUETA REDONDA CONTROLE REMOTO AMBOS RECUA"</f>
        <v>ETIQUETA REDONDA CONTROLE REMOTO AMBOS RECUA</v>
      </c>
      <c r="C1761" t="str">
        <f>"53180070"</f>
        <v>53180070</v>
      </c>
      <c r="D1761" s="9"/>
      <c r="E1761" s="14" t="s">
        <v>15</v>
      </c>
    </row>
    <row r="1762" spans="1:5" ht="15.75" x14ac:dyDescent="0.25">
      <c r="A1762" s="5">
        <v>5</v>
      </c>
      <c r="B1762" s="6" t="str">
        <f>"ETIQUETA REDONDA NUMERO 1"</f>
        <v>ETIQUETA REDONDA NUMERO 1</v>
      </c>
      <c r="C1762" s="6" t="str">
        <f>"53180071"</f>
        <v>53180071</v>
      </c>
      <c r="D1762" s="10"/>
      <c r="E1762" s="14" t="s">
        <v>15</v>
      </c>
    </row>
    <row r="1763" spans="1:5" ht="15.75" x14ac:dyDescent="0.25">
      <c r="A1763" s="4">
        <v>5</v>
      </c>
      <c r="B1763" t="str">
        <f>"ETIQUETA REDONDA NUMERO 2"</f>
        <v>ETIQUETA REDONDA NUMERO 2</v>
      </c>
      <c r="C1763" t="str">
        <f>"53180072"</f>
        <v>53180072</v>
      </c>
      <c r="D1763" s="9"/>
      <c r="E1763" s="14" t="s">
        <v>15</v>
      </c>
    </row>
    <row r="1764" spans="1:5" ht="15.75" x14ac:dyDescent="0.25">
      <c r="A1764" s="5">
        <v>3</v>
      </c>
      <c r="B1764" s="6" t="str">
        <f>"ETIQUETA REDONDA NUMERO 3"</f>
        <v>ETIQUETA REDONDA NUMERO 3</v>
      </c>
      <c r="C1764" s="6" t="str">
        <f>"53180073"</f>
        <v>53180073</v>
      </c>
      <c r="D1764" s="10"/>
      <c r="E1764" s="14" t="s">
        <v>15</v>
      </c>
    </row>
    <row r="1765" spans="1:5" ht="15.75" x14ac:dyDescent="0.25">
      <c r="A1765" s="4">
        <v>3</v>
      </c>
      <c r="B1765" t="str">
        <f>"ETIQUETA REDONDA NUMERO 4"</f>
        <v>ETIQUETA REDONDA NUMERO 4</v>
      </c>
      <c r="C1765" t="str">
        <f>"53180074"</f>
        <v>53180074</v>
      </c>
      <c r="D1765" s="9"/>
      <c r="E1765" s="14" t="s">
        <v>15</v>
      </c>
    </row>
    <row r="1766" spans="1:5" ht="15.75" x14ac:dyDescent="0.25">
      <c r="A1766" s="5">
        <v>3</v>
      </c>
      <c r="B1766" s="6" t="str">
        <f>"ETIQUETA REDONDA NUMERO 5"</f>
        <v>ETIQUETA REDONDA NUMERO 5</v>
      </c>
      <c r="C1766" s="6" t="str">
        <f>"53180075"</f>
        <v>53180075</v>
      </c>
      <c r="D1766" s="10"/>
      <c r="E1766" s="14" t="s">
        <v>15</v>
      </c>
    </row>
    <row r="1767" spans="1:5" ht="15.75" x14ac:dyDescent="0.25">
      <c r="A1767" s="4">
        <v>3</v>
      </c>
      <c r="B1767" t="str">
        <f>"ETIQUETA REDONDA NUMERO 6"</f>
        <v>ETIQUETA REDONDA NUMERO 6</v>
      </c>
      <c r="C1767" t="str">
        <f>"53180076"</f>
        <v>53180076</v>
      </c>
      <c r="D1767" s="9"/>
      <c r="E1767" s="14" t="s">
        <v>15</v>
      </c>
    </row>
    <row r="1768" spans="1:5" ht="15.75" x14ac:dyDescent="0.25">
      <c r="A1768" s="5">
        <v>3</v>
      </c>
      <c r="B1768" s="6" t="str">
        <f>"ETIQUETA REDONDA NUMERO 7"</f>
        <v>ETIQUETA REDONDA NUMERO 7</v>
      </c>
      <c r="C1768" s="6" t="str">
        <f>"53180077"</f>
        <v>53180077</v>
      </c>
      <c r="D1768" s="10"/>
      <c r="E1768" s="14" t="s">
        <v>15</v>
      </c>
    </row>
    <row r="1769" spans="1:5" ht="15.75" x14ac:dyDescent="0.25">
      <c r="A1769" s="4">
        <v>3</v>
      </c>
      <c r="B1769" t="str">
        <f>"ETIQUETA REDONDA NUMERO 8"</f>
        <v>ETIQUETA REDONDA NUMERO 8</v>
      </c>
      <c r="C1769" t="str">
        <f>"53180078"</f>
        <v>53180078</v>
      </c>
      <c r="D1769" s="9"/>
      <c r="E1769" s="14" t="s">
        <v>15</v>
      </c>
    </row>
    <row r="1770" spans="1:5" ht="15.75" x14ac:dyDescent="0.25">
      <c r="A1770" s="5">
        <v>1</v>
      </c>
      <c r="B1770" s="6" t="str">
        <f>"ETIQUETA REDONDA CONTROLE REMOTO BATEÇÃO"</f>
        <v>ETIQUETA REDONDA CONTROLE REMOTO BATEÇÃO</v>
      </c>
      <c r="C1770" s="6" t="str">
        <f>"53180079"</f>
        <v>53180079</v>
      </c>
      <c r="D1770" s="10"/>
      <c r="E1770" s="14" t="s">
        <v>15</v>
      </c>
    </row>
    <row r="1771" spans="1:5" ht="15.75" x14ac:dyDescent="0.25">
      <c r="A1771" s="4">
        <v>1</v>
      </c>
      <c r="B1771" t="str">
        <f>"ETIQUETA REDONDA CONTROLE REMOTO ENCOSTA"</f>
        <v>ETIQUETA REDONDA CONTROLE REMOTO ENCOSTA</v>
      </c>
      <c r="C1771" t="str">
        <f>"53180080"</f>
        <v>53180080</v>
      </c>
      <c r="D1771" s="9"/>
      <c r="E1771" s="14" t="s">
        <v>15</v>
      </c>
    </row>
    <row r="1772" spans="1:5" ht="15.75" x14ac:dyDescent="0.25">
      <c r="A1772" s="5">
        <v>1</v>
      </c>
      <c r="B1772" s="6" t="str">
        <f>"ETIQUETA COMANDO REBOBINADOR TROCA NR12"</f>
        <v>ETIQUETA COMANDO REBOBINADOR TROCA NR12</v>
      </c>
      <c r="C1772" s="6" t="str">
        <f>"53180092"</f>
        <v>53180092</v>
      </c>
      <c r="D1772" s="10"/>
      <c r="E1772" s="14" t="s">
        <v>15</v>
      </c>
    </row>
    <row r="1773" spans="1:5" ht="15.75" x14ac:dyDescent="0.25">
      <c r="A1773" s="4">
        <v>1</v>
      </c>
      <c r="B1773" t="str">
        <f>"ETIQUETA POSTO COMANDO EM ALUMINIO BETA NR12"</f>
        <v>ETIQUETA POSTO COMANDO EM ALUMINIO BETA NR12</v>
      </c>
      <c r="C1773" t="str">
        <f>"53180094"</f>
        <v>53180094</v>
      </c>
      <c r="D1773" s="9"/>
      <c r="E1773" s="14" t="s">
        <v>15</v>
      </c>
    </row>
    <row r="1774" spans="1:5" ht="15.75" x14ac:dyDescent="0.25">
      <c r="A1774" s="5">
        <v>16</v>
      </c>
      <c r="B1774" s="6" t="str">
        <f>"ETIQUETA INDICADORA DE EMERGENCIA P/ BOTAO DE 22 MM"</f>
        <v>ETIQUETA INDICADORA DE EMERGENCIA P/ BOTAO DE 22 MM</v>
      </c>
      <c r="C1774" s="6" t="str">
        <f>"53180100"</f>
        <v>53180100</v>
      </c>
      <c r="D1774" s="10"/>
      <c r="E1774" s="14" t="s">
        <v>15</v>
      </c>
    </row>
    <row r="1775" spans="1:5" ht="15.75" x14ac:dyDescent="0.25">
      <c r="A1775" s="4">
        <v>4</v>
      </c>
      <c r="B1775" t="str">
        <f>"ETIQUETA INDICADORA DE EMERGENCIA  P/ CAIXA DE SOBREPOR"</f>
        <v>ETIQUETA INDICADORA DE EMERGENCIA  P/ CAIXA DE SOBREPOR</v>
      </c>
      <c r="C1775" t="str">
        <f>"53180101"</f>
        <v>53180101</v>
      </c>
      <c r="D1775" s="9"/>
      <c r="E1775" s="14" t="s">
        <v>15</v>
      </c>
    </row>
    <row r="1776" spans="1:5" ht="15.75" x14ac:dyDescent="0.25">
      <c r="A1776" s="5">
        <v>1</v>
      </c>
      <c r="B1776" s="6" t="str">
        <f>"ETIQUETA PROGRAMAÇÃO  P/ CAIXA DE SOBREPOR"</f>
        <v>ETIQUETA PROGRAMAÇÃO  P/ CAIXA DE SOBREPOR</v>
      </c>
      <c r="C1776" s="6" t="str">
        <f>"53180102"</f>
        <v>53180102</v>
      </c>
      <c r="D1776" s="10"/>
      <c r="E1776" s="14" t="s">
        <v>15</v>
      </c>
    </row>
    <row r="1777" spans="1:5" ht="15.75" x14ac:dyDescent="0.25">
      <c r="A1777" s="4">
        <v>1</v>
      </c>
      <c r="B1777" t="str">
        <f>"ETIQUETA RETANGULAR AR CONDICIONADO  LIMPAR DRENO"</f>
        <v>ETIQUETA RETANGULAR AR CONDICIONADO  LIMPAR DRENO</v>
      </c>
      <c r="C1777" t="str">
        <f>"53180145"</f>
        <v>53180145</v>
      </c>
      <c r="D1777" s="9"/>
      <c r="E1777" s="14" t="s">
        <v>15</v>
      </c>
    </row>
    <row r="1778" spans="1:5" ht="15.75" x14ac:dyDescent="0.25">
      <c r="A1778" s="5">
        <v>1</v>
      </c>
      <c r="B1778" s="6" t="str">
        <f>"ETIQUETA RETANGULAR AR CONDICIONADO  26 graus"</f>
        <v>ETIQUETA RETANGULAR AR CONDICIONADO  26 graus</v>
      </c>
      <c r="C1778" s="6" t="str">
        <f>"53180146"</f>
        <v>53180146</v>
      </c>
      <c r="D1778" s="10"/>
      <c r="E1778" s="14" t="s">
        <v>15</v>
      </c>
    </row>
    <row r="1779" spans="1:5" ht="15.75" x14ac:dyDescent="0.25">
      <c r="A1779" s="4">
        <v>1</v>
      </c>
      <c r="B1779" t="str">
        <f>"ETIQUETA RETANGULAR ATENÇAO DISJUNTOR SOB TENSÃO"</f>
        <v>ETIQUETA RETANGULAR ATENÇAO DISJUNTOR SOB TENSÃO</v>
      </c>
      <c r="C1779" t="str">
        <f>"53180147"</f>
        <v>53180147</v>
      </c>
      <c r="D1779" s="9"/>
      <c r="E1779" s="14" t="s">
        <v>15</v>
      </c>
    </row>
    <row r="1780" spans="1:5" ht="15.75" x14ac:dyDescent="0.25">
      <c r="A1780" s="5">
        <v>8</v>
      </c>
      <c r="B1780" s="6" t="str">
        <f>"ETIQUETA  PARA LAVADOR - IMPRESSAO"</f>
        <v>ETIQUETA  PARA LAVADOR - IMPRESSAO</v>
      </c>
      <c r="C1780" s="6" t="str">
        <f>"53180214"</f>
        <v>53180214</v>
      </c>
      <c r="D1780" s="10"/>
      <c r="E1780" s="14" t="s">
        <v>15</v>
      </c>
    </row>
    <row r="1781" spans="1:5" ht="15.75" x14ac:dyDescent="0.25">
      <c r="A1781" s="4">
        <v>8</v>
      </c>
      <c r="B1781" t="str">
        <f>"ETIQUETA  PARA LAVADOR - LIMPEZA"</f>
        <v>ETIQUETA  PARA LAVADOR - LIMPEZA</v>
      </c>
      <c r="C1781" t="str">
        <f>"53180216"</f>
        <v>53180216</v>
      </c>
      <c r="D1781" s="9"/>
      <c r="E1781" s="14" t="s">
        <v>15</v>
      </c>
    </row>
    <row r="1782" spans="1:5" ht="15.75" x14ac:dyDescent="0.25">
      <c r="A1782" s="5">
        <v>4</v>
      </c>
      <c r="B1782" s="6" t="str">
        <f>"ETIQUETA  PARA LAVADOR - SETA P"</f>
        <v>ETIQUETA  PARA LAVADOR - SETA P</v>
      </c>
      <c r="C1782" s="6" t="str">
        <f>"53180223"</f>
        <v>53180223</v>
      </c>
      <c r="D1782" s="10"/>
      <c r="E1782" s="14" t="s">
        <v>15</v>
      </c>
    </row>
    <row r="1783" spans="1:5" ht="15.75" x14ac:dyDescent="0.25">
      <c r="A1783" s="4">
        <v>8</v>
      </c>
      <c r="B1783" t="str">
        <f>"ETIQUETA  PARA LAVADOR - DESLIGA"</f>
        <v>ETIQUETA  PARA LAVADOR - DESLIGA</v>
      </c>
      <c r="C1783" t="str">
        <f>"53180226"</f>
        <v>53180226</v>
      </c>
      <c r="D1783" s="9"/>
      <c r="E1783" s="14" t="s">
        <v>15</v>
      </c>
    </row>
    <row r="1784" spans="1:5" ht="15.75" x14ac:dyDescent="0.25">
      <c r="A1784" s="5">
        <v>1</v>
      </c>
      <c r="B1784" s="6" t="str">
        <f>"ETIQUETA  PAINEL DO LAVADOR 1ª A 4ª CORES"</f>
        <v>ETIQUETA  PAINEL DO LAVADOR 1ª A 4ª CORES</v>
      </c>
      <c r="C1784" s="6" t="str">
        <f>"53180246"</f>
        <v>53180246</v>
      </c>
      <c r="D1784" s="10"/>
      <c r="E1784" s="14" t="s">
        <v>15</v>
      </c>
    </row>
    <row r="1785" spans="1:5" ht="15.75" x14ac:dyDescent="0.25">
      <c r="A1785" s="4">
        <v>1</v>
      </c>
      <c r="B1785" t="str">
        <f>"ETIQUETA  PAINEL DO LAVADOR 5ª A 8ª CORES"</f>
        <v>ETIQUETA  PAINEL DO LAVADOR 5ª A 8ª CORES</v>
      </c>
      <c r="C1785" t="str">
        <f>"53180247"</f>
        <v>53180247</v>
      </c>
      <c r="D1785" s="9"/>
      <c r="E1785" s="14" t="s">
        <v>15</v>
      </c>
    </row>
    <row r="1786" spans="1:5" ht="15.75" x14ac:dyDescent="0.25">
      <c r="A1786" s="5">
        <v>4</v>
      </c>
      <c r="B1786" s="6" t="str">
        <f>"ETIQUETA  DE LIMPEZA DA VALVULA DE RESPIRO"</f>
        <v>ETIQUETA  DE LIMPEZA DA VALVULA DE RESPIRO</v>
      </c>
      <c r="C1786" s="6" t="str">
        <f>"53180250"</f>
        <v>53180250</v>
      </c>
      <c r="D1786" s="10"/>
      <c r="E1786" s="14" t="s">
        <v>15</v>
      </c>
    </row>
    <row r="1787" spans="1:5" ht="15.75" x14ac:dyDescent="0.25">
      <c r="A1787" s="4">
        <v>1</v>
      </c>
      <c r="B1787" t="str">
        <f>"EtiquetaSeg.ArmarioElétrico ATENÇÃO    24/220/380V"</f>
        <v>EtiquetaSeg.ArmarioElétrico ATENÇÃO    24/220/380V</v>
      </c>
      <c r="C1787" t="str">
        <f>"53180251"</f>
        <v>53180251</v>
      </c>
      <c r="D1787" s="9"/>
      <c r="E1787" s="14" t="s">
        <v>15</v>
      </c>
    </row>
    <row r="1788" spans="1:5" ht="15.75" x14ac:dyDescent="0.25">
      <c r="A1788" s="5">
        <v>1</v>
      </c>
      <c r="B1788" s="6" t="str">
        <f>"EtiquetaSeg.ArmarioElétrico PERIGO  ARMARIO ELÉTRICO"</f>
        <v>EtiquetaSeg.ArmarioElétrico PERIGO  ARMARIO ELÉTRICO</v>
      </c>
      <c r="C1788" s="6" t="str">
        <f>"53180252"</f>
        <v>53180252</v>
      </c>
      <c r="D1788" s="10"/>
      <c r="E1788" s="14" t="s">
        <v>15</v>
      </c>
    </row>
    <row r="1789" spans="1:5" ht="15.75" x14ac:dyDescent="0.25">
      <c r="A1789" s="4">
        <v>1</v>
      </c>
      <c r="B1789" t="str">
        <f>"EtiquetaSeg.ArmarioElétrico PERIGO  PESSOAL AUTORIZADO"</f>
        <v>EtiquetaSeg.ArmarioElétrico PERIGO  PESSOAL AUTORIZADO</v>
      </c>
      <c r="C1789" t="str">
        <f>"53180253"</f>
        <v>53180253</v>
      </c>
      <c r="D1789" s="9"/>
      <c r="E1789" s="14" t="s">
        <v>15</v>
      </c>
    </row>
    <row r="1790" spans="1:5" ht="15.75" x14ac:dyDescent="0.25">
      <c r="A1790" s="5">
        <v>1</v>
      </c>
      <c r="B1790" s="6" t="str">
        <f>"EtiquetaSeg.ArmarioElétrico ATENÇÃO   24/220V"</f>
        <v>EtiquetaSeg.ArmarioElétrico ATENÇÃO   24/220V</v>
      </c>
      <c r="C1790" s="6" t="str">
        <f>"53180254"</f>
        <v>53180254</v>
      </c>
      <c r="D1790" s="10"/>
      <c r="E1790" s="14" t="s">
        <v>15</v>
      </c>
    </row>
    <row r="1791" spans="1:5" ht="15.75" x14ac:dyDescent="0.25">
      <c r="A1791" s="4">
        <v>1</v>
      </c>
      <c r="B1791" t="str">
        <f>"EtiquetaSeg.ArmarioElétrico ATENÇÃO   CHAVE GERAL"</f>
        <v>EtiquetaSeg.ArmarioElétrico ATENÇÃO   CHAVE GERAL</v>
      </c>
      <c r="C1791" t="str">
        <f>"53180255"</f>
        <v>53180255</v>
      </c>
      <c r="D1791" s="9"/>
      <c r="E1791" s="14" t="s">
        <v>15</v>
      </c>
    </row>
    <row r="1792" spans="1:5" ht="15.75" x14ac:dyDescent="0.25">
      <c r="A1792" s="5">
        <v>1</v>
      </c>
      <c r="B1792" s="6" t="str">
        <f>"EtiquetaSeg.ArmarioElétrico ATENÇÃO    NOBREAK"</f>
        <v>EtiquetaSeg.ArmarioElétrico ATENÇÃO    NOBREAK</v>
      </c>
      <c r="C1792" s="6" t="str">
        <f>"53180256"</f>
        <v>53180256</v>
      </c>
      <c r="D1792" s="10"/>
      <c r="E1792" s="14" t="s">
        <v>15</v>
      </c>
    </row>
    <row r="1793" spans="1:5" ht="15.75" x14ac:dyDescent="0.25">
      <c r="A1793" s="4">
        <v>4</v>
      </c>
      <c r="B1793" t="str">
        <f>"EtiquetaSeg.ArmarioElétrico RAIO 24V"</f>
        <v>EtiquetaSeg.ArmarioElétrico RAIO 24V</v>
      </c>
      <c r="C1793" t="str">
        <f>"53180257"</f>
        <v>53180257</v>
      </c>
      <c r="D1793" s="9"/>
      <c r="E1793" s="14" t="s">
        <v>15</v>
      </c>
    </row>
    <row r="1794" spans="1:5" ht="15.75" x14ac:dyDescent="0.25">
      <c r="A1794" s="5">
        <v>5</v>
      </c>
      <c r="B1794" s="6" t="str">
        <f>"EtiquetaSeg.ArmarioElétrico RAIO 220V"</f>
        <v>EtiquetaSeg.ArmarioElétrico RAIO 220V</v>
      </c>
      <c r="C1794" s="6" t="str">
        <f>"53180258"</f>
        <v>53180258</v>
      </c>
      <c r="D1794" s="10"/>
      <c r="E1794" s="14" t="s">
        <v>15</v>
      </c>
    </row>
    <row r="1795" spans="1:5" ht="15.75" x14ac:dyDescent="0.25">
      <c r="A1795" s="4">
        <v>4</v>
      </c>
      <c r="B1795" t="str">
        <f>"EtiquetaSeg.ArmarioElétrico RAIO 380V"</f>
        <v>EtiquetaSeg.ArmarioElétrico RAIO 380V</v>
      </c>
      <c r="C1795" t="str">
        <f>"53180259"</f>
        <v>53180259</v>
      </c>
      <c r="D1795" s="9"/>
      <c r="E1795" s="14" t="s">
        <v>15</v>
      </c>
    </row>
    <row r="1796" spans="1:5" ht="15.75" x14ac:dyDescent="0.25">
      <c r="A1796" s="5">
        <v>4</v>
      </c>
      <c r="B1796" s="6" t="str">
        <f>"EtiquetaSeg.ArmarioElétrico ATENÇÃO     24/220/380V"</f>
        <v>EtiquetaSeg.ArmarioElétrico ATENÇÃO     24/220/380V</v>
      </c>
      <c r="C1796" s="6" t="str">
        <f>"53180260"</f>
        <v>53180260</v>
      </c>
      <c r="D1796" s="10"/>
      <c r="E1796" s="14" t="s">
        <v>15</v>
      </c>
    </row>
    <row r="1797" spans="1:5" ht="15.75" x14ac:dyDescent="0.25">
      <c r="A1797" s="4">
        <v>1</v>
      </c>
      <c r="B1797" t="str">
        <f>"ILUMINAÇÃO"</f>
        <v>ILUMINAÇÃO</v>
      </c>
      <c r="C1797" t="str">
        <f>"53180263"</f>
        <v>53180263</v>
      </c>
      <c r="D1797" s="9"/>
      <c r="E1797" s="14" t="s">
        <v>15</v>
      </c>
    </row>
    <row r="1798" spans="1:5" ht="15.75" x14ac:dyDescent="0.25">
      <c r="A1798" s="5">
        <v>8</v>
      </c>
      <c r="B1798" s="6" t="str">
        <f>"Atenção! Retirar o acessório de instalação da camisa P"</f>
        <v>Atenção! Retirar o acessório de instalação da camisa P</v>
      </c>
      <c r="C1798" s="6" t="str">
        <f>"53180264"</f>
        <v>53180264</v>
      </c>
      <c r="D1798" s="10"/>
      <c r="E1798" s="14" t="s">
        <v>15</v>
      </c>
    </row>
    <row r="1799" spans="1:5" ht="15.75" x14ac:dyDescent="0.25">
      <c r="A1799" s="4">
        <v>2</v>
      </c>
      <c r="B1799" t="str">
        <f>"ATENÇÃO! Risco danificar Mandril Retirar acessório s/ ponte"</f>
        <v>ATENÇÃO! Risco danificar Mandril Retirar acessório s/ ponte</v>
      </c>
      <c r="C1799" t="str">
        <f>"53180265"</f>
        <v>53180265</v>
      </c>
      <c r="D1799" s="9"/>
      <c r="E1799" s="14" t="s">
        <v>15</v>
      </c>
    </row>
    <row r="1800" spans="1:5" ht="15.75" x14ac:dyDescent="0.25">
      <c r="A1800" s="5">
        <v>2</v>
      </c>
      <c r="B1800" s="6" t="str">
        <f>"ETIQUETA PARA BLOCO DE LUBRIFICAÇÃO DOS FUSOS BETA 8"</f>
        <v>ETIQUETA PARA BLOCO DE LUBRIFICAÇÃO DOS FUSOS BETA 8</v>
      </c>
      <c r="C1800" s="6" t="str">
        <f>"53180266"</f>
        <v>53180266</v>
      </c>
      <c r="D1800" s="10"/>
      <c r="E1800" s="14" t="s">
        <v>15</v>
      </c>
    </row>
    <row r="1801" spans="1:5" ht="15.75" x14ac:dyDescent="0.25">
      <c r="A1801" s="4">
        <v>1</v>
      </c>
      <c r="B1801" t="str">
        <f>"VISCOSÍMETRO POSTO DE COMANDO"</f>
        <v>VISCOSÍMETRO POSTO DE COMANDO</v>
      </c>
      <c r="C1801" t="str">
        <f>"53180273"</f>
        <v>53180273</v>
      </c>
      <c r="D1801" s="9"/>
      <c r="E1801" s="14" t="s">
        <v>15</v>
      </c>
    </row>
    <row r="1802" spans="1:5" ht="15.75" x14ac:dyDescent="0.25">
      <c r="A1802" s="5">
        <v>1</v>
      </c>
      <c r="B1802" s="6" t="str">
        <f>"ETIQUETA 600 VCC"</f>
        <v>ETIQUETA 600 VCC</v>
      </c>
      <c r="C1802" s="6" t="str">
        <f>"53180280"</f>
        <v>53180280</v>
      </c>
      <c r="D1802" s="10"/>
      <c r="E1802" s="14" t="s">
        <v>15</v>
      </c>
    </row>
    <row r="1803" spans="1:5" ht="15.75" x14ac:dyDescent="0.25">
      <c r="A1803" s="4">
        <v>1</v>
      </c>
      <c r="B1803" t="str">
        <f>"ETIQUETA FIO 4 X 15 MM - BRANCO PVC RIGIDO"</f>
        <v>ETIQUETA FIO 4 X 15 MM - BRANCO PVC RIGIDO</v>
      </c>
      <c r="C1803" t="str">
        <f>"53180600"</f>
        <v>53180600</v>
      </c>
      <c r="D1803" s="9"/>
      <c r="E1803" s="14" t="s">
        <v>15</v>
      </c>
    </row>
    <row r="1804" spans="1:5" ht="15.75" x14ac:dyDescent="0.25">
      <c r="A1804" s="5">
        <v>1</v>
      </c>
      <c r="B1804" s="6" t="str">
        <f>"ETIQUETAS DE VINIL PARA ZETA 1000"</f>
        <v>ETIQUETAS DE VINIL PARA ZETA 1000</v>
      </c>
      <c r="C1804" s="6" t="str">
        <f>"53180600ZE0"</f>
        <v>53180600ZE0</v>
      </c>
      <c r="D1804" s="10"/>
      <c r="E1804" s="14" t="s">
        <v>15</v>
      </c>
    </row>
    <row r="1805" spans="1:5" ht="15.75" x14ac:dyDescent="0.25">
      <c r="A1805" s="4">
        <v>1</v>
      </c>
      <c r="B1805" t="str">
        <f>"ETIQUETA FIO 7 X 15 MM - BRANCO PVC FLEXÌVEL"</f>
        <v>ETIQUETA FIO 7 X 15 MM - BRANCO PVC FLEXÌVEL</v>
      </c>
      <c r="C1805" t="str">
        <f>"53180602"</f>
        <v>53180602</v>
      </c>
      <c r="D1805" s="9"/>
      <c r="E1805" s="14" t="s">
        <v>15</v>
      </c>
    </row>
    <row r="1806" spans="1:5" ht="15.75" x14ac:dyDescent="0.25">
      <c r="A1806" s="5">
        <v>1</v>
      </c>
      <c r="B1806" s="6" t="str">
        <f>"ETIQUETA 1"</f>
        <v>ETIQUETA 1</v>
      </c>
      <c r="C1806" s="6" t="str">
        <f>"53185379V01"</f>
        <v>53185379V01</v>
      </c>
      <c r="D1806" s="10"/>
      <c r="E1806" s="14" t="s">
        <v>15</v>
      </c>
    </row>
    <row r="1807" spans="1:5" ht="15.75" x14ac:dyDescent="0.25">
      <c r="A1807" s="4">
        <v>1</v>
      </c>
      <c r="B1807" t="str">
        <f>"ETIQUETA 2"</f>
        <v>ETIQUETA 2</v>
      </c>
      <c r="C1807" t="str">
        <f>"53185379V02"</f>
        <v>53185379V02</v>
      </c>
      <c r="D1807" s="9"/>
      <c r="E1807" s="14" t="s">
        <v>15</v>
      </c>
    </row>
    <row r="1808" spans="1:5" ht="15.75" x14ac:dyDescent="0.25">
      <c r="A1808" s="5">
        <v>1</v>
      </c>
      <c r="B1808" s="6" t="str">
        <f>"ETIQUETA 3"</f>
        <v>ETIQUETA 3</v>
      </c>
      <c r="C1808" s="6" t="str">
        <f>"53185379V03"</f>
        <v>53185379V03</v>
      </c>
      <c r="D1808" s="10"/>
      <c r="E1808" s="14" t="s">
        <v>15</v>
      </c>
    </row>
    <row r="1809" spans="1:5" ht="15.75" x14ac:dyDescent="0.25">
      <c r="A1809" s="4">
        <v>1</v>
      </c>
      <c r="B1809" t="str">
        <f>"ETIQUETA 4"</f>
        <v>ETIQUETA 4</v>
      </c>
      <c r="C1809" t="str">
        <f>"53185379V04"</f>
        <v>53185379V04</v>
      </c>
      <c r="D1809" s="9"/>
      <c r="E1809" s="14" t="s">
        <v>15</v>
      </c>
    </row>
    <row r="1810" spans="1:5" ht="15.75" x14ac:dyDescent="0.25">
      <c r="A1810" s="5">
        <v>1</v>
      </c>
      <c r="B1810" s="6" t="str">
        <f>"ETIQUETA 5"</f>
        <v>ETIQUETA 5</v>
      </c>
      <c r="C1810" s="6" t="str">
        <f>"53185379V05"</f>
        <v>53185379V05</v>
      </c>
      <c r="D1810" s="10"/>
      <c r="E1810" s="14" t="s">
        <v>15</v>
      </c>
    </row>
    <row r="1811" spans="1:5" ht="15.75" x14ac:dyDescent="0.25">
      <c r="A1811" s="4">
        <v>1</v>
      </c>
      <c r="B1811" t="str">
        <f>"ETIQUETA 6"</f>
        <v>ETIQUETA 6</v>
      </c>
      <c r="C1811" t="str">
        <f>"53185379V06"</f>
        <v>53185379V06</v>
      </c>
      <c r="D1811" s="9"/>
      <c r="E1811" s="14" t="s">
        <v>15</v>
      </c>
    </row>
    <row r="1812" spans="1:5" ht="15.75" x14ac:dyDescent="0.25">
      <c r="A1812" s="5">
        <v>1</v>
      </c>
      <c r="B1812" s="6" t="str">
        <f>"ETIQUETA 7"</f>
        <v>ETIQUETA 7</v>
      </c>
      <c r="C1812" s="6" t="str">
        <f>"53185379V07"</f>
        <v>53185379V07</v>
      </c>
      <c r="D1812" s="10"/>
      <c r="E1812" s="14" t="s">
        <v>15</v>
      </c>
    </row>
    <row r="1813" spans="1:5" ht="15.75" x14ac:dyDescent="0.25">
      <c r="A1813" s="4">
        <v>1</v>
      </c>
      <c r="B1813" t="str">
        <f>"ETIQUETA 8"</f>
        <v>ETIQUETA 8</v>
      </c>
      <c r="C1813" t="str">
        <f>"53185379V08"</f>
        <v>53185379V08</v>
      </c>
      <c r="D1813" s="9"/>
      <c r="E1813" s="14" t="s">
        <v>15</v>
      </c>
    </row>
    <row r="1814" spans="1:5" ht="15.75" x14ac:dyDescent="0.25">
      <c r="A1814" s="5">
        <v>2</v>
      </c>
      <c r="B1814" s="6" t="str">
        <f>"ETIQUETA SOLVENTE LIMPO"</f>
        <v>ETIQUETA SOLVENTE LIMPO</v>
      </c>
      <c r="C1814" s="6" t="str">
        <f>"53185379V09"</f>
        <v>53185379V09</v>
      </c>
      <c r="D1814" s="10"/>
      <c r="E1814" s="14" t="s">
        <v>15</v>
      </c>
    </row>
    <row r="1815" spans="1:5" ht="15.75" x14ac:dyDescent="0.25">
      <c r="A1815" s="4">
        <v>2</v>
      </c>
      <c r="B1815" t="str">
        <f>"ETIQUETA SOLVENTE CONTAMINADO"</f>
        <v>ETIQUETA SOLVENTE CONTAMINADO</v>
      </c>
      <c r="C1815" t="str">
        <f>"53185379V10"</f>
        <v>53185379V10</v>
      </c>
      <c r="D1815" s="9"/>
      <c r="E1815" s="14" t="s">
        <v>15</v>
      </c>
    </row>
    <row r="1816" spans="1:5" ht="15.75" x14ac:dyDescent="0.25">
      <c r="A1816" s="5">
        <v>2</v>
      </c>
      <c r="B1816" s="6" t="str">
        <f>"ETIQUETA DESCARTE"</f>
        <v>ETIQUETA DESCARTE</v>
      </c>
      <c r="C1816" s="6" t="str">
        <f>"53185379V11"</f>
        <v>53185379V11</v>
      </c>
      <c r="D1816" s="10"/>
      <c r="E1816" s="14" t="s">
        <v>15</v>
      </c>
    </row>
    <row r="1817" spans="1:5" ht="15.75" x14ac:dyDescent="0.25">
      <c r="A1817" s="4">
        <v>2</v>
      </c>
      <c r="B1817" t="str">
        <f>"ETIQUETA CONTAMINADO"</f>
        <v>ETIQUETA CONTAMINADO</v>
      </c>
      <c r="C1817" t="str">
        <f>"53185379V12"</f>
        <v>53185379V12</v>
      </c>
      <c r="D1817" s="9"/>
      <c r="E1817" s="14" t="s">
        <v>15</v>
      </c>
    </row>
    <row r="1818" spans="1:5" ht="15.75" x14ac:dyDescent="0.25">
      <c r="A1818" s="5">
        <v>1</v>
      </c>
      <c r="B1818" s="6" t="str">
        <f>"ETIQUETA DE AJUSTE LÂMINA 1 A 4"</f>
        <v>ETIQUETA DE AJUSTE LÂMINA 1 A 4</v>
      </c>
      <c r="C1818" s="6" t="str">
        <f>"53185990"</f>
        <v>53185990</v>
      </c>
      <c r="D1818" s="10"/>
      <c r="E1818" s="14" t="s">
        <v>15</v>
      </c>
    </row>
    <row r="1819" spans="1:5" ht="15.75" x14ac:dyDescent="0.25">
      <c r="A1819" s="4">
        <v>1</v>
      </c>
      <c r="B1819" t="str">
        <f>"ETIQUETA DE AJUSTE LÂMINA 5 A 8"</f>
        <v>ETIQUETA DE AJUSTE LÂMINA 5 A 8</v>
      </c>
      <c r="C1819" t="str">
        <f>"53185991"</f>
        <v>53185991</v>
      </c>
      <c r="D1819" s="9"/>
      <c r="E1819" s="14" t="s">
        <v>15</v>
      </c>
    </row>
    <row r="1820" spans="1:5" ht="15.75" x14ac:dyDescent="0.25">
      <c r="A1820" s="5">
        <v>1</v>
      </c>
      <c r="B1820" s="6" t="str">
        <f>"FILTRO TRIFASICO 125 A"</f>
        <v>FILTRO TRIFASICO 125 A</v>
      </c>
      <c r="C1820" s="6" t="str">
        <f>"53320500"</f>
        <v>53320500</v>
      </c>
      <c r="D1820" s="10"/>
      <c r="E1820" s="14" t="s">
        <v>15</v>
      </c>
    </row>
    <row r="1821" spans="1:5" ht="15.75" x14ac:dyDescent="0.25">
      <c r="A1821" s="4">
        <v>8</v>
      </c>
      <c r="B1821" t="str">
        <f>"FILTRO DE LINHA NFE02.1-230-008"</f>
        <v>FILTRO DE LINHA NFE02.1-230-008</v>
      </c>
      <c r="C1821" t="str">
        <f>"53320511"</f>
        <v>53320511</v>
      </c>
      <c r="D1821" s="9"/>
      <c r="E1821" s="14" t="s">
        <v>15</v>
      </c>
    </row>
    <row r="1822" spans="1:5" ht="15.75" x14ac:dyDescent="0.25">
      <c r="A1822" s="5">
        <v>1</v>
      </c>
      <c r="B1822" s="6" t="str">
        <f>"FIM DE CURSO C/ HASTE AJUSTAVEL - 1NA/1NF"</f>
        <v>FIM DE CURSO C/ HASTE AJUSTAVEL - 1NA/1NF</v>
      </c>
      <c r="C1822" s="6" t="str">
        <f>"53340120"</f>
        <v>53340120</v>
      </c>
      <c r="D1822" s="10"/>
      <c r="E1822" s="14" t="s">
        <v>15</v>
      </c>
    </row>
    <row r="1823" spans="1:5" ht="15.75" x14ac:dyDescent="0.25">
      <c r="A1823" s="4">
        <v>40</v>
      </c>
      <c r="B1823" t="str">
        <f>"FIRMWARE FWA-INDRV*-MPE-18VRS-D5-1-NNN-NN"</f>
        <v>FIRMWARE FWA-INDRV*-MPE-18VRS-D5-1-NNN-NN</v>
      </c>
      <c r="C1823" t="str">
        <f>"53370131"</f>
        <v>53370131</v>
      </c>
      <c r="D1823" s="9"/>
      <c r="E1823" s="14" t="s">
        <v>15</v>
      </c>
    </row>
    <row r="1824" spans="1:5" ht="15.75" x14ac:dyDescent="0.25">
      <c r="A1824" s="5">
        <v>1</v>
      </c>
      <c r="B1824" s="6" t="str">
        <f>"FIRMWARE - BOSCH P/ CONTROLADOR L 25"</f>
        <v>FIRMWARE - BOSCH P/ CONTROLADOR L 25</v>
      </c>
      <c r="C1824" s="6" t="str">
        <f>"53370140"</f>
        <v>53370140</v>
      </c>
      <c r="D1824" s="10"/>
      <c r="E1824" s="14" t="s">
        <v>15</v>
      </c>
    </row>
    <row r="1825" spans="1:5" ht="15.75" x14ac:dyDescent="0.25">
      <c r="A1825" s="4">
        <v>8</v>
      </c>
      <c r="B1825" t="str">
        <f>"FIRMWARE -  FWA-INDRV*-MPM-20VRS-D5-1-SNC-NN"</f>
        <v>FIRMWARE -  FWA-INDRV*-MPM-20VRS-D5-1-SNC-NN</v>
      </c>
      <c r="C1825" t="str">
        <f>"53370167"</f>
        <v>53370167</v>
      </c>
      <c r="D1825" s="9"/>
      <c r="E1825" s="14" t="s">
        <v>15</v>
      </c>
    </row>
    <row r="1826" spans="1:5" ht="15.75" x14ac:dyDescent="0.25">
      <c r="A1826" s="5">
        <v>1</v>
      </c>
      <c r="B1826" s="6" t="str">
        <f>"FIRMWARE -   FWA-INDRV*-MPC-20VRS-D5-1-SNC-NN"</f>
        <v>FIRMWARE -   FWA-INDRV*-MPC-20VRS-D5-1-SNC-NN</v>
      </c>
      <c r="C1826" s="6" t="str">
        <f>"53370168"</f>
        <v>53370168</v>
      </c>
      <c r="D1826" s="10"/>
      <c r="E1826" s="14" t="s">
        <v>15</v>
      </c>
    </row>
    <row r="1827" spans="1:5" ht="15.75" x14ac:dyDescent="0.25">
      <c r="A1827" s="4">
        <v>5</v>
      </c>
      <c r="B1827" t="str">
        <f>"FITA ISOLANTE  19 MM x 20 M"</f>
        <v>FITA ISOLANTE  19 MM x 20 M</v>
      </c>
      <c r="C1827" t="str">
        <f>"53380001"</f>
        <v>53380001</v>
      </c>
      <c r="D1827" s="9"/>
      <c r="E1827" s="14" t="s">
        <v>15</v>
      </c>
    </row>
    <row r="1828" spans="1:5" ht="15.75" x14ac:dyDescent="0.25">
      <c r="A1828" s="5">
        <v>11</v>
      </c>
      <c r="B1828" s="6" t="str">
        <f>"FITA DE VEDAÇAO DE NEOPRENE 12 X 4 MM X 10M"</f>
        <v>FITA DE VEDAÇAO DE NEOPRENE 12 X 4 MM X 10M</v>
      </c>
      <c r="C1828" s="6" t="str">
        <f>"53380002"</f>
        <v>53380002</v>
      </c>
      <c r="D1828" s="10"/>
      <c r="E1828" s="14" t="s">
        <v>15</v>
      </c>
    </row>
    <row r="1829" spans="1:5" ht="15.75" x14ac:dyDescent="0.25">
      <c r="A1829" s="4">
        <v>2</v>
      </c>
      <c r="B1829" t="str">
        <f>"FITA ISOLANTE ALTA TENSAO 23 3M  19 MM x 10 M"</f>
        <v>FITA ISOLANTE ALTA TENSAO 23 3M  19 MM x 10 M</v>
      </c>
      <c r="C1829" t="str">
        <f>"53380010"</f>
        <v>53380010</v>
      </c>
      <c r="D1829" s="9"/>
      <c r="E1829" s="14" t="s">
        <v>15</v>
      </c>
    </row>
    <row r="1830" spans="1:5" ht="15.75" x14ac:dyDescent="0.25">
      <c r="A1830" s="5">
        <v>100</v>
      </c>
      <c r="B1830" s="6" t="str">
        <f>"FIXADOR NYLON ADESIVADO 28 X 28 MM"</f>
        <v>FIXADOR NYLON ADESIVADO 28 X 28 MM</v>
      </c>
      <c r="C1830" s="6" t="str">
        <f>"53400001"</f>
        <v>53400001</v>
      </c>
      <c r="D1830" s="10"/>
      <c r="E1830" s="14" t="s">
        <v>15</v>
      </c>
    </row>
    <row r="1831" spans="1:5" ht="15.75" x14ac:dyDescent="0.25">
      <c r="A1831" s="4">
        <v>300</v>
      </c>
      <c r="B1831" t="str">
        <f>"FIXADOR   DUT - DT1"</f>
        <v>FIXADOR   DUT - DT1</v>
      </c>
      <c r="C1831" t="str">
        <f>"53400010"</f>
        <v>53400010</v>
      </c>
      <c r="D1831" s="9"/>
      <c r="E1831" s="14" t="s">
        <v>15</v>
      </c>
    </row>
    <row r="1832" spans="1:5" ht="15.75" x14ac:dyDescent="0.25">
      <c r="A1832" s="5">
        <v>1</v>
      </c>
      <c r="B1832" s="6" t="str">
        <f>"FONTE ALIMENTAÇAO 90 A 240 VAC FL P/ MODULOS LASER"</f>
        <v>FONTE ALIMENTAÇAO 90 A 240 VAC FL P/ MODULOS LASER</v>
      </c>
      <c r="C1832" s="6" t="str">
        <f>"53430020"</f>
        <v>53430020</v>
      </c>
      <c r="D1832" s="10"/>
      <c r="E1832" s="14" t="s">
        <v>15</v>
      </c>
    </row>
    <row r="1833" spans="1:5" ht="15.75" x14ac:dyDescent="0.25">
      <c r="A1833" s="4">
        <v>8</v>
      </c>
      <c r="B1833" t="s">
        <v>1</v>
      </c>
      <c r="C1833" t="str">
        <f>"53430210"</f>
        <v>53430210</v>
      </c>
      <c r="D1833" s="9"/>
      <c r="E1833" s="14" t="s">
        <v>15</v>
      </c>
    </row>
    <row r="1834" spans="1:5" ht="15.75" x14ac:dyDescent="0.25">
      <c r="A1834" s="5">
        <v>1</v>
      </c>
      <c r="B1834" s="6" t="str">
        <f>"FONTE ALIMENTAÇAO DRIVES BOSCH"</f>
        <v>FONTE ALIMENTAÇAO DRIVES BOSCH</v>
      </c>
      <c r="C1834" s="6" t="str">
        <f>"53431000"</f>
        <v>53431000</v>
      </c>
      <c r="D1834" s="10"/>
      <c r="E1834" s="14" t="s">
        <v>15</v>
      </c>
    </row>
    <row r="1835" spans="1:5" ht="15.75" x14ac:dyDescent="0.25">
      <c r="A1835" s="4">
        <v>1</v>
      </c>
      <c r="B1835" t="str">
        <f>"FOTOLITO 53450039"</f>
        <v>FOTOLITO 53450039</v>
      </c>
      <c r="C1835" t="str">
        <f>"53450039"</f>
        <v>53450039</v>
      </c>
      <c r="D1835" s="9"/>
      <c r="E1835" s="14" t="s">
        <v>15</v>
      </c>
    </row>
    <row r="1836" spans="1:5" ht="15.75" x14ac:dyDescent="0.25">
      <c r="A1836" s="5">
        <v>18</v>
      </c>
      <c r="B1836" s="6" t="str">
        <f>"FUSIVEL CARTUCHO 10X38 2A Gg (C10G2)"</f>
        <v>FUSIVEL CARTUCHO 10X38 2A Gg (C10G2)</v>
      </c>
      <c r="C1836" s="6" t="str">
        <f>"53480202"</f>
        <v>53480202</v>
      </c>
      <c r="D1836" s="10"/>
      <c r="E1836" s="14" t="s">
        <v>15</v>
      </c>
    </row>
    <row r="1837" spans="1:5" ht="15.75" x14ac:dyDescent="0.25">
      <c r="A1837" s="4">
        <v>16</v>
      </c>
      <c r="B1837" t="str">
        <f>"FUSIVEL CARTUCHO 10X38 6A gR Ultra Rápido"</f>
        <v>FUSIVEL CARTUCHO 10X38 6A gR Ultra Rápido</v>
      </c>
      <c r="C1837" t="str">
        <f>"53480205"</f>
        <v>53480205</v>
      </c>
      <c r="D1837" s="9"/>
      <c r="E1837" s="14" t="s">
        <v>15</v>
      </c>
    </row>
    <row r="1838" spans="1:5" ht="15.75" x14ac:dyDescent="0.25">
      <c r="A1838" s="5">
        <v>9</v>
      </c>
      <c r="B1838" s="6" t="str">
        <f>"FUSIVEL CARTUCHO  10X38  20A"</f>
        <v>FUSIVEL CARTUCHO  10X38  20A</v>
      </c>
      <c r="C1838" s="6" t="str">
        <f>"53480209"</f>
        <v>53480209</v>
      </c>
      <c r="D1838" s="10"/>
      <c r="E1838" s="14" t="s">
        <v>15</v>
      </c>
    </row>
    <row r="1839" spans="1:5" ht="15.75" x14ac:dyDescent="0.25">
      <c r="A1839" s="4">
        <v>3</v>
      </c>
      <c r="B1839" t="str">
        <f>"FUSIVEL CARTUCHO 14x51 40A gG/gl"</f>
        <v>FUSIVEL CARTUCHO 14x51 40A gG/gl</v>
      </c>
      <c r="C1839" t="str">
        <f>"53480414"</f>
        <v>53480414</v>
      </c>
      <c r="D1839" s="9"/>
      <c r="E1839" s="14" t="s">
        <v>15</v>
      </c>
    </row>
    <row r="1840" spans="1:5" ht="15.75" x14ac:dyDescent="0.25">
      <c r="A1840" s="5">
        <v>3</v>
      </c>
      <c r="B1840" s="6" t="str">
        <f>"FUSIVEL NH 000 gR 16A DIN 43620"</f>
        <v>FUSIVEL NH 000 gR 16A DIN 43620</v>
      </c>
      <c r="C1840" s="6" t="str">
        <f>"53480811"</f>
        <v>53480811</v>
      </c>
      <c r="D1840" s="10"/>
      <c r="E1840" s="14" t="s">
        <v>15</v>
      </c>
    </row>
    <row r="1841" spans="1:5" ht="15.75" x14ac:dyDescent="0.25">
      <c r="A1841" s="4">
        <v>2</v>
      </c>
      <c r="B1841" t="str">
        <f>"FUSIVEL NH 000 gR 20A DIN 43620"</f>
        <v>FUSIVEL NH 000 gR 20A DIN 43620</v>
      </c>
      <c r="C1841" t="str">
        <f>"53480812"</f>
        <v>53480812</v>
      </c>
      <c r="D1841" s="9"/>
      <c r="E1841" s="14" t="s">
        <v>15</v>
      </c>
    </row>
    <row r="1842" spans="1:5" ht="15.75" x14ac:dyDescent="0.25">
      <c r="A1842" s="5">
        <v>12</v>
      </c>
      <c r="B1842" s="6" t="str">
        <f>"FUSIVEL NH 000 gR 50A DIN 43620"</f>
        <v>FUSIVEL NH 000 gR 50A DIN 43620</v>
      </c>
      <c r="C1842" s="6" t="str">
        <f>"53480816"</f>
        <v>53480816</v>
      </c>
      <c r="D1842" s="10"/>
      <c r="E1842" s="14" t="s">
        <v>15</v>
      </c>
    </row>
    <row r="1843" spans="1:5" ht="15.75" x14ac:dyDescent="0.25">
      <c r="A1843" s="4">
        <v>8</v>
      </c>
      <c r="B1843" t="str">
        <f>"FUSIVEL NH 000 gR 80A DIN 43620"</f>
        <v>FUSIVEL NH 000 gR 80A DIN 43620</v>
      </c>
      <c r="C1843" t="str">
        <f>"53480818"</f>
        <v>53480818</v>
      </c>
      <c r="D1843" s="9"/>
      <c r="E1843" s="14" t="s">
        <v>15</v>
      </c>
    </row>
    <row r="1844" spans="1:5" ht="15.75" x14ac:dyDescent="0.25">
      <c r="A1844" s="5">
        <v>6</v>
      </c>
      <c r="B1844" s="6" t="str">
        <f>"FUSIVEL NH 00 gG/gl 125A"</f>
        <v>FUSIVEL NH 00 gG/gl 125A</v>
      </c>
      <c r="C1844" s="6" t="str">
        <f>"53481006"</f>
        <v>53481006</v>
      </c>
      <c r="D1844" s="10"/>
      <c r="E1844" s="14" t="s">
        <v>15</v>
      </c>
    </row>
    <row r="1845" spans="1:5" ht="15.75" x14ac:dyDescent="0.25">
      <c r="A1845" s="4">
        <v>8</v>
      </c>
      <c r="B1845" t="str">
        <f>"FUSIVEL VIDRO 5X20  100mA"</f>
        <v>FUSIVEL VIDRO 5X20  100mA</v>
      </c>
      <c r="C1845" t="str">
        <f>"53481815"</f>
        <v>53481815</v>
      </c>
      <c r="D1845" s="9"/>
      <c r="E1845" s="14" t="s">
        <v>15</v>
      </c>
    </row>
    <row r="1846" spans="1:5" ht="15.75" x14ac:dyDescent="0.25">
      <c r="A1846" s="5">
        <v>1</v>
      </c>
      <c r="B1846" s="6" t="str">
        <f>"FUSIVEL VIDRO 5X20  600mA"</f>
        <v>FUSIVEL VIDRO 5X20  600mA</v>
      </c>
      <c r="C1846" s="6" t="str">
        <f>"53481818"</f>
        <v>53481818</v>
      </c>
      <c r="D1846" s="10"/>
      <c r="E1846" s="14" t="s">
        <v>15</v>
      </c>
    </row>
    <row r="1847" spans="1:5" ht="15.75" x14ac:dyDescent="0.25">
      <c r="A1847" s="4">
        <v>2</v>
      </c>
      <c r="B1847" t="str">
        <f>"FUSIVEL VIDRO 5X20  2A"</f>
        <v>FUSIVEL VIDRO 5X20  2A</v>
      </c>
      <c r="C1847" t="str">
        <f>"53481820"</f>
        <v>53481820</v>
      </c>
      <c r="D1847" s="9"/>
      <c r="E1847" s="14" t="s">
        <v>15</v>
      </c>
    </row>
    <row r="1848" spans="1:5" ht="15.75" x14ac:dyDescent="0.25">
      <c r="A1848" s="5">
        <v>1</v>
      </c>
      <c r="B1848" s="6" t="str">
        <f>"GRADE PROTEÇÃO P/ VENTILADOR P/ MT AC  Diam= 250 mm - trif"</f>
        <v>GRADE PROTEÇÃO P/ VENTILADOR P/ MT AC  Diam= 250 mm - trif</v>
      </c>
      <c r="C1848" s="6" t="str">
        <f>"53590100"</f>
        <v>53590100</v>
      </c>
      <c r="D1848" s="10"/>
      <c r="E1848" s="14" t="s">
        <v>15</v>
      </c>
    </row>
    <row r="1849" spans="1:5" ht="15.75" x14ac:dyDescent="0.25">
      <c r="A1849" s="4">
        <v>8</v>
      </c>
      <c r="B1849" t="str">
        <f>"GRADE PROTEÇÃO P/ MINIVENTILADOR 120 X 120 MM"</f>
        <v>GRADE PROTEÇÃO P/ MINIVENTILADOR 120 X 120 MM</v>
      </c>
      <c r="C1849" t="str">
        <f>"53590104"</f>
        <v>53590104</v>
      </c>
      <c r="D1849" s="9"/>
      <c r="E1849" s="14" t="s">
        <v>15</v>
      </c>
    </row>
    <row r="1850" spans="1:5" ht="15.75" x14ac:dyDescent="0.25">
      <c r="A1850" s="5">
        <v>4</v>
      </c>
      <c r="B1850" s="6" t="str">
        <f>"ESPUMA ANTICH.PARA ISOLAÇÃO DO CONTAINER 500 X 500 X 40"</f>
        <v>ESPUMA ANTICH.PARA ISOLAÇÃO DO CONTAINER 500 X 500 X 40</v>
      </c>
      <c r="C1850" s="6" t="str">
        <f>"53590200"</f>
        <v>53590200</v>
      </c>
      <c r="D1850" s="10"/>
      <c r="E1850" s="14" t="s">
        <v>15</v>
      </c>
    </row>
    <row r="1851" spans="1:5" ht="15.75" x14ac:dyDescent="0.25">
      <c r="A1851" s="4">
        <v>80</v>
      </c>
      <c r="B1851" t="str">
        <f>"IDENTIFICADOR ABS 9,5 X 18 MM  C/ 19 ETQ."</f>
        <v>IDENTIFICADOR ABS 9,5 X 18 MM  C/ 19 ETQ.</v>
      </c>
      <c r="C1851" t="str">
        <f>"53760005"</f>
        <v>53760005</v>
      </c>
      <c r="D1851" s="9"/>
      <c r="E1851" s="14" t="s">
        <v>15</v>
      </c>
    </row>
    <row r="1852" spans="1:5" ht="15.75" x14ac:dyDescent="0.25">
      <c r="A1852" s="5">
        <v>1</v>
      </c>
      <c r="B1852" s="6" t="str">
        <f>"INSERTO DE PARAFUSO C/ PROTEÇÃO P/ CABOS 3+T MACHO  (10 A )"</f>
        <v>INSERTO DE PARAFUSO C/ PROTEÇÃO P/ CABOS 3+T MACHO  (10 A )</v>
      </c>
      <c r="C1852" s="6" t="str">
        <f>"53850002"</f>
        <v>53850002</v>
      </c>
      <c r="D1852" s="10"/>
      <c r="E1852" s="14" t="s">
        <v>15</v>
      </c>
    </row>
    <row r="1853" spans="1:5" ht="15.75" x14ac:dyDescent="0.25">
      <c r="A1853" s="4">
        <v>5</v>
      </c>
      <c r="B1853" t="str">
        <f>"INSERTO DE PARAFUSO C/ PROTEÇÃO PARA CABOS 16+T FÊMEA"</f>
        <v>INSERTO DE PARAFUSO C/ PROTEÇÃO PARA CABOS 16+T FÊMEA</v>
      </c>
      <c r="C1853" t="str">
        <f>"53850007"</f>
        <v>53850007</v>
      </c>
      <c r="D1853" s="9"/>
      <c r="E1853" s="14" t="s">
        <v>15</v>
      </c>
    </row>
    <row r="1854" spans="1:5" ht="15.75" x14ac:dyDescent="0.25">
      <c r="A1854" s="5">
        <v>5</v>
      </c>
      <c r="B1854" s="6" t="str">
        <f>"INSERTO DE PARAFUSO C/ PROTEÇÃO PARA CABOS 16+T MACHO"</f>
        <v>INSERTO DE PARAFUSO C/ PROTEÇÃO PARA CABOS 16+T MACHO</v>
      </c>
      <c r="C1854" s="6" t="str">
        <f>"53850008"</f>
        <v>53850008</v>
      </c>
      <c r="D1854" s="10"/>
      <c r="E1854" s="14" t="s">
        <v>15</v>
      </c>
    </row>
    <row r="1855" spans="1:5" ht="15.75" x14ac:dyDescent="0.25">
      <c r="A1855" s="4">
        <v>2</v>
      </c>
      <c r="B1855" t="str">
        <f>"INSERTO DE PARAFUSO C/ PROTEÇÃO PARA CABOS 24+T FÊMEA"</f>
        <v>INSERTO DE PARAFUSO C/ PROTEÇÃO PARA CABOS 24+T FÊMEA</v>
      </c>
      <c r="C1855" t="str">
        <f>"53850009"</f>
        <v>53850009</v>
      </c>
      <c r="D1855" s="9"/>
      <c r="E1855" s="14" t="s">
        <v>15</v>
      </c>
    </row>
    <row r="1856" spans="1:5" ht="15.75" x14ac:dyDescent="0.25">
      <c r="A1856" s="5">
        <v>2</v>
      </c>
      <c r="B1856" s="6" t="str">
        <f>"INSERTO DE PARAFUSO C/ PROTEÇÃO PARA CABOS 24+T MACHO"</f>
        <v>INSERTO DE PARAFUSO C/ PROTEÇÃO PARA CABOS 24+T MACHO</v>
      </c>
      <c r="C1856" s="6" t="str">
        <f>"53850010"</f>
        <v>53850010</v>
      </c>
      <c r="D1856" s="10"/>
      <c r="E1856" s="14" t="s">
        <v>15</v>
      </c>
    </row>
    <row r="1857" spans="1:5" ht="15.75" x14ac:dyDescent="0.25">
      <c r="A1857" s="4">
        <v>1</v>
      </c>
      <c r="B1857" t="str">
        <f>"INSERTO DE PARAFUSO C/ PROTEÇÃO PARA CABOS 6 +T FÊMEA"</f>
        <v>INSERTO DE PARAFUSO C/ PROTEÇÃO PARA CABOS 6 +T FÊMEA</v>
      </c>
      <c r="C1857" t="str">
        <f>"53850013"</f>
        <v>53850013</v>
      </c>
      <c r="D1857" s="9"/>
      <c r="E1857" s="14" t="s">
        <v>15</v>
      </c>
    </row>
    <row r="1858" spans="1:5" ht="15.75" x14ac:dyDescent="0.25">
      <c r="A1858" s="5">
        <v>1</v>
      </c>
      <c r="B1858" s="6" t="str">
        <f>"INSERTO DE PARAFUSO C/ PROTEÇÃO PARA CABOS 6 +T MACHO"</f>
        <v>INSERTO DE PARAFUSO C/ PROTEÇÃO PARA CABOS 6 +T MACHO</v>
      </c>
      <c r="C1858" s="6" t="str">
        <f>"53850014"</f>
        <v>53850014</v>
      </c>
      <c r="D1858" s="10"/>
      <c r="E1858" s="14" t="s">
        <v>15</v>
      </c>
    </row>
    <row r="1859" spans="1:5" ht="15.75" x14ac:dyDescent="0.25">
      <c r="A1859" s="4">
        <v>1</v>
      </c>
      <c r="B1859" t="str">
        <f>"INSERTO DE PARAFUSO C/ PROTEÇÃO P/ CABOS 3+T FÊMEA    (10 A)"</f>
        <v>INSERTO DE PARAFUSO C/ PROTEÇÃO P/ CABOS 3+T FÊMEA    (10 A)</v>
      </c>
      <c r="C1859" t="str">
        <f>"53850050"</f>
        <v>53850050</v>
      </c>
      <c r="D1859" s="9"/>
      <c r="E1859" s="14" t="s">
        <v>15</v>
      </c>
    </row>
    <row r="1860" spans="1:5" ht="15.75" x14ac:dyDescent="0.25">
      <c r="A1860" s="5">
        <v>1</v>
      </c>
      <c r="B1860" s="6" t="str">
        <f>"INTERRUPTOR 2 POLOS 2 POS. 15 A TECLA  PRETO"</f>
        <v>INTERRUPTOR 2 POLOS 2 POS. 15 A TECLA  PRETO</v>
      </c>
      <c r="C1860" s="6" t="str">
        <f>"53870020"</f>
        <v>53870020</v>
      </c>
      <c r="D1860" s="10"/>
      <c r="E1860" s="14" t="s">
        <v>15</v>
      </c>
    </row>
    <row r="1861" spans="1:5" ht="15.75" x14ac:dyDescent="0.25">
      <c r="A1861" s="4">
        <v>1</v>
      </c>
      <c r="B1861" t="str">
        <f>"INTERRUPTOR 2 POLOS 3 POS. 15 A TECLA  PRETO"</f>
        <v>INTERRUPTOR 2 POLOS 3 POS. 15 A TECLA  PRETO</v>
      </c>
      <c r="C1861" t="str">
        <f>"53870021"</f>
        <v>53870021</v>
      </c>
      <c r="D1861" s="9"/>
      <c r="E1861" s="14" t="s">
        <v>15</v>
      </c>
    </row>
    <row r="1862" spans="1:5" ht="15.75" x14ac:dyDescent="0.25">
      <c r="A1862" s="5">
        <v>2</v>
      </c>
      <c r="B1862" s="6" t="str">
        <f>"INTERRUPTOR  BIPOLAR 2- SIMPLES"</f>
        <v>INTERRUPTOR  BIPOLAR 2- SIMPLES</v>
      </c>
      <c r="C1862" s="6" t="str">
        <f>"53870105"</f>
        <v>53870105</v>
      </c>
      <c r="D1862" s="10"/>
      <c r="E1862" s="14" t="s">
        <v>15</v>
      </c>
    </row>
    <row r="1863" spans="1:5" ht="15.75" x14ac:dyDescent="0.25">
      <c r="A1863" s="4">
        <v>1</v>
      </c>
      <c r="B1863" t="str">
        <f>"INVERSOR DE  6CV 4,4 KW 380 V - 690v"</f>
        <v>INVERSOR DE  6CV 4,4 KW 380 V - 690v</v>
      </c>
      <c r="C1863" t="str">
        <f>"53890006"</f>
        <v>53890006</v>
      </c>
      <c r="D1863" s="9"/>
      <c r="E1863" s="14" t="s">
        <v>15</v>
      </c>
    </row>
    <row r="1864" spans="1:5" ht="15.75" x14ac:dyDescent="0.25">
      <c r="A1864" s="5">
        <v>4</v>
      </c>
      <c r="B1864" s="6" t="str">
        <f>"INVERSOR  30 CV  22 KW  380 V"</f>
        <v>INVERSOR  30 CV  22 KW  380 V</v>
      </c>
      <c r="C1864" s="6" t="str">
        <f>"53890018"</f>
        <v>53890018</v>
      </c>
      <c r="D1864" s="10"/>
      <c r="E1864" s="14" t="s">
        <v>15</v>
      </c>
    </row>
    <row r="1865" spans="1:5" ht="15.75" x14ac:dyDescent="0.25">
      <c r="A1865" s="4">
        <v>3</v>
      </c>
      <c r="B1865" t="str">
        <f>"INVERSOR 6 CV 4,4 KW 380 V - FEC - BOSCH"</f>
        <v>INVERSOR 6 CV 4,4 KW 380 V - FEC - BOSCH</v>
      </c>
      <c r="C1865" t="str">
        <f>"53890307"</f>
        <v>53890307</v>
      </c>
      <c r="D1865" s="9"/>
      <c r="E1865" s="14" t="s">
        <v>15</v>
      </c>
    </row>
    <row r="1866" spans="1:5" ht="15.75" x14ac:dyDescent="0.25">
      <c r="A1866" s="5">
        <v>1</v>
      </c>
      <c r="B1866" s="6" t="str">
        <f>"INVERSOR 10 CV 7,5 KW 380 V -EFC MODELO BOSCH"</f>
        <v>INVERSOR 10 CV 7,5 KW 380 V -EFC MODELO BOSCH</v>
      </c>
      <c r="C1866" s="6" t="str">
        <f>"53890309"</f>
        <v>53890309</v>
      </c>
      <c r="D1866" s="10"/>
      <c r="E1866" s="14" t="s">
        <v>15</v>
      </c>
    </row>
    <row r="1867" spans="1:5" ht="15.75" x14ac:dyDescent="0.25">
      <c r="A1867" s="4">
        <v>12</v>
      </c>
      <c r="B1867" t="str">
        <f>"LAMPADA  VERDE P/ SINALEIRO - MODELO LED - 24 VCC"</f>
        <v>LAMPADA  VERDE P/ SINALEIRO - MODELO LED - 24 VCC</v>
      </c>
      <c r="C1867" t="str">
        <f>"53960002"</f>
        <v>53960002</v>
      </c>
      <c r="D1867" s="9"/>
      <c r="E1867" s="14" t="s">
        <v>15</v>
      </c>
    </row>
    <row r="1868" spans="1:5" ht="15.75" x14ac:dyDescent="0.25">
      <c r="A1868" s="5">
        <v>22</v>
      </c>
      <c r="B1868" s="6" t="str">
        <f>"LÃMPADA LED TUBULAR  9W  BIVOLT  (110V - 220V)"</f>
        <v>LÃMPADA LED TUBULAR  9W  BIVOLT  (110V - 220V)</v>
      </c>
      <c r="C1868" s="6" t="str">
        <f>"53961005"</f>
        <v>53961005</v>
      </c>
      <c r="D1868" s="10"/>
      <c r="E1868" s="14" t="s">
        <v>15</v>
      </c>
    </row>
    <row r="1869" spans="1:5" ht="15.75" x14ac:dyDescent="0.25">
      <c r="A1869" s="4">
        <v>20</v>
      </c>
      <c r="B1869" t="str">
        <f>"LÃMPADA LED TUBULAR  18W  BIVOLT  (110V - 220V)"</f>
        <v>LÃMPADA LED TUBULAR  18W  BIVOLT  (110V - 220V)</v>
      </c>
      <c r="C1869" t="str">
        <f>"53961006"</f>
        <v>53961006</v>
      </c>
      <c r="D1869" s="9"/>
      <c r="E1869" s="14" t="s">
        <v>15</v>
      </c>
    </row>
    <row r="1870" spans="1:5" ht="15.75" x14ac:dyDescent="0.25">
      <c r="A1870" s="5">
        <v>7</v>
      </c>
      <c r="B1870" s="6" t="str">
        <f>"LUMINÁRIA HERMETICA 60 CM - P/ 2 LAMPADAS LED."</f>
        <v>LUMINÁRIA HERMETICA 60 CM - P/ 2 LAMPADAS LED.</v>
      </c>
      <c r="C1870" s="6" t="str">
        <f>"54060013"</f>
        <v>54060013</v>
      </c>
      <c r="D1870" s="10"/>
      <c r="E1870" s="14" t="s">
        <v>15</v>
      </c>
    </row>
    <row r="1871" spans="1:5" ht="15.75" x14ac:dyDescent="0.25">
      <c r="A1871" s="4">
        <v>6</v>
      </c>
      <c r="B1871" t="str">
        <f>"LUMINÁRIA HERMETICA 120 CM - P/ 2 LAMPADAS LED."</f>
        <v>LUMINÁRIA HERMETICA 120 CM - P/ 2 LAMPADAS LED.</v>
      </c>
      <c r="C1871" t="str">
        <f>"54060014"</f>
        <v>54060014</v>
      </c>
      <c r="D1871" s="9"/>
      <c r="E1871" s="14" t="s">
        <v>15</v>
      </c>
    </row>
    <row r="1872" spans="1:5" ht="15.75" x14ac:dyDescent="0.25">
      <c r="A1872" s="5">
        <v>6</v>
      </c>
      <c r="B1872" s="6" t="str">
        <f>"Terminação para conduite Pg 11 Cinza  ( LUVA )"</f>
        <v>Terminação para conduite Pg 11 Cinza  ( LUVA )</v>
      </c>
      <c r="C1872" s="6" t="str">
        <f>"54080001"</f>
        <v>54080001</v>
      </c>
      <c r="D1872" s="10"/>
      <c r="E1872" s="14" t="s">
        <v>15</v>
      </c>
    </row>
    <row r="1873" spans="1:5" ht="15.75" x14ac:dyDescent="0.25">
      <c r="A1873" s="4">
        <v>5000</v>
      </c>
      <c r="B1873" t="str">
        <f>"LUVA TRANSPARENTE FIO 0,75 A 1,5 mm2 - 15 mm"</f>
        <v>LUVA TRANSPARENTE FIO 0,75 A 1,5 mm2 - 15 mm</v>
      </c>
      <c r="C1873" t="str">
        <f>"54080100"</f>
        <v>54080100</v>
      </c>
      <c r="D1873" s="9"/>
      <c r="E1873" s="14" t="s">
        <v>15</v>
      </c>
    </row>
    <row r="1874" spans="1:5" ht="15.75" x14ac:dyDescent="0.25">
      <c r="A1874" s="5">
        <v>2000</v>
      </c>
      <c r="B1874" s="6" t="str">
        <f>"LUVA TRANSPARENTE FIO 2,5 A 6 mm2 - 15 mm"</f>
        <v>LUVA TRANSPARENTE FIO 2,5 A 6 mm2 - 15 mm</v>
      </c>
      <c r="C1874" s="6" t="str">
        <f>"54080105"</f>
        <v>54080105</v>
      </c>
      <c r="D1874" s="10"/>
      <c r="E1874" s="14" t="s">
        <v>15</v>
      </c>
    </row>
    <row r="1875" spans="1:5" ht="15.75" x14ac:dyDescent="0.25">
      <c r="A1875" s="4">
        <v>600</v>
      </c>
      <c r="B1875" t="str">
        <f>"LUVA TRANSPARENTE FIO 10 A 16 mm2 - 15 mm"</f>
        <v>LUVA TRANSPARENTE FIO 10 A 16 mm2 - 15 mm</v>
      </c>
      <c r="C1875" t="str">
        <f>"54080110"</f>
        <v>54080110</v>
      </c>
      <c r="D1875" s="9"/>
      <c r="E1875" s="14" t="s">
        <v>15</v>
      </c>
    </row>
    <row r="1876" spans="1:5" ht="15.75" x14ac:dyDescent="0.25">
      <c r="A1876" s="5">
        <v>400</v>
      </c>
      <c r="B1876" s="6" t="str">
        <f>"LUVA TRANSPARENTE FIO 25 A 35 mm2 - 15 mm"</f>
        <v>LUVA TRANSPARENTE FIO 25 A 35 mm2 - 15 mm</v>
      </c>
      <c r="C1876" s="6" t="str">
        <f>"54080115"</f>
        <v>54080115</v>
      </c>
      <c r="D1876" s="10"/>
      <c r="E1876" s="14" t="s">
        <v>15</v>
      </c>
    </row>
    <row r="1877" spans="1:5" ht="15.75" x14ac:dyDescent="0.25">
      <c r="A1877" s="4">
        <v>14</v>
      </c>
      <c r="B1877" t="str">
        <f>"MANGUEIRA DE SILICONE 12 X 8 MM"</f>
        <v>MANGUEIRA DE SILICONE 12 X 8 MM</v>
      </c>
      <c r="C1877" t="str">
        <f>"54240001"</f>
        <v>54240001</v>
      </c>
      <c r="D1877" s="9"/>
      <c r="E1877" s="14" t="s">
        <v>15</v>
      </c>
    </row>
    <row r="1878" spans="1:5" ht="15.75" x14ac:dyDescent="0.25">
      <c r="A1878" s="5">
        <v>6</v>
      </c>
      <c r="B1878" s="6" t="str">
        <f>"MANGUEIRA DE SILICONE 8 X 4 MM ANTI CHAMA"</f>
        <v>MANGUEIRA DE SILICONE 8 X 4 MM ANTI CHAMA</v>
      </c>
      <c r="C1878" s="6" t="str">
        <f>"54240003"</f>
        <v>54240003</v>
      </c>
      <c r="D1878" s="10"/>
      <c r="E1878" s="14" t="s">
        <v>15</v>
      </c>
    </row>
    <row r="1879" spans="1:5" ht="15.75" x14ac:dyDescent="0.25">
      <c r="A1879" s="4">
        <v>1</v>
      </c>
      <c r="B1879" t="str">
        <f>"MANOPLA ROTATIVA LATERAL DIREITO PRETA/CINZA P/ LZM3 NZM3"</f>
        <v>MANOPLA ROTATIVA LATERAL DIREITO PRETA/CINZA P/ LZM3 NZM3</v>
      </c>
      <c r="C1879" t="str">
        <f>"5427F102"</f>
        <v>5427F102</v>
      </c>
      <c r="D1879" s="9"/>
      <c r="E1879" s="14" t="s">
        <v>15</v>
      </c>
    </row>
    <row r="1880" spans="1:5" ht="15.75" x14ac:dyDescent="0.25">
      <c r="A1880" s="5">
        <v>2</v>
      </c>
      <c r="B1880" s="6" t="str">
        <f>"MEMORIA CARD CPU DE SEGURANÇA - REXROTH"</f>
        <v>MEMORIA CARD CPU DE SEGURANÇA - REXROTH</v>
      </c>
      <c r="C1880" s="6" t="str">
        <f>"54330111"</f>
        <v>54330111</v>
      </c>
      <c r="D1880" s="10"/>
      <c r="E1880" s="14" t="s">
        <v>15</v>
      </c>
    </row>
    <row r="1881" spans="1:5" ht="15.75" x14ac:dyDescent="0.25">
      <c r="A1881" s="4">
        <v>1</v>
      </c>
      <c r="B1881" t="str">
        <f>"MICROCOMPUTADOR - C/ SSD 256 GB + PORTA SERIAL"</f>
        <v>MICROCOMPUTADOR - C/ SSD 256 GB + PORTA SERIAL</v>
      </c>
      <c r="C1881" t="str">
        <f>"54370108"</f>
        <v>54370108</v>
      </c>
      <c r="D1881" s="9"/>
      <c r="E1881" s="14" t="s">
        <v>15</v>
      </c>
    </row>
    <row r="1882" spans="1:5" ht="15.75" x14ac:dyDescent="0.25">
      <c r="A1882" s="5">
        <v>1</v>
      </c>
      <c r="B1882" s="6" t="str">
        <f>"MODULO DE ENTRADAS DE 2 VIAS ANALOGICAS"</f>
        <v>MODULO DE ENTRADAS DE 2 VIAS ANALOGICAS</v>
      </c>
      <c r="C1882" s="6" t="str">
        <f>"54380001"</f>
        <v>54380001</v>
      </c>
      <c r="D1882" s="10"/>
      <c r="E1882" s="14" t="s">
        <v>15</v>
      </c>
    </row>
    <row r="1883" spans="1:5" ht="15.75" x14ac:dyDescent="0.25">
      <c r="A1883" s="4">
        <v>1</v>
      </c>
      <c r="B1883" t="str">
        <f>"MODULO DE CONTAGEM RAPIDA 200 kHZ"</f>
        <v>MODULO DE CONTAGEM RAPIDA 200 kHZ</v>
      </c>
      <c r="C1883" t="str">
        <f>"54380005"</f>
        <v>54380005</v>
      </c>
      <c r="D1883" s="9"/>
      <c r="E1883" s="14" t="s">
        <v>15</v>
      </c>
    </row>
    <row r="1884" spans="1:5" ht="15.75" x14ac:dyDescent="0.25">
      <c r="A1884" s="5">
        <v>7</v>
      </c>
      <c r="B1884" s="6" t="str">
        <f>"MODULO DE ENTRADA DE 16 VIAS   24 Vcc     16DI"</f>
        <v>MODULO DE ENTRADA DE 16 VIAS   24 Vcc     16DI</v>
      </c>
      <c r="C1884" s="6" t="str">
        <f>"54380007"</f>
        <v>54380007</v>
      </c>
      <c r="D1884" s="10"/>
      <c r="E1884" s="14" t="s">
        <v>15</v>
      </c>
    </row>
    <row r="1885" spans="1:5" ht="15.75" x14ac:dyDescent="0.25">
      <c r="A1885" s="4">
        <v>7</v>
      </c>
      <c r="B1885" t="str">
        <f>"MODULO DE SAIDA 16 VIAS DIGITAIS  24Vcc 16DO"</f>
        <v>MODULO DE SAIDA 16 VIAS DIGITAIS  24Vcc 16DO</v>
      </c>
      <c r="C1885" t="str">
        <f>"54380011"</f>
        <v>54380011</v>
      </c>
      <c r="D1885" s="9"/>
      <c r="E1885" s="14" t="s">
        <v>15</v>
      </c>
    </row>
    <row r="1886" spans="1:5" ht="15.75" x14ac:dyDescent="0.25">
      <c r="A1886" s="5">
        <v>4</v>
      </c>
      <c r="B1886" s="6" t="str">
        <f>"MODULO DE SAIDA A RELE COM 2  CONTATOS REVERSIVEIS"</f>
        <v>MODULO DE SAIDA A RELE COM 2  CONTATOS REVERSIVEIS</v>
      </c>
      <c r="C1886" s="6" t="str">
        <f>"54380012"</f>
        <v>54380012</v>
      </c>
      <c r="D1886" s="10"/>
      <c r="E1886" s="14" t="s">
        <v>15</v>
      </c>
    </row>
    <row r="1887" spans="1:5" ht="15.75" x14ac:dyDescent="0.25">
      <c r="A1887" s="4">
        <v>2</v>
      </c>
      <c r="B1887" t="str">
        <f>"MODULO COMUNICAÇAO PROFIBUS DPV1 E DPV0"</f>
        <v>MODULO COMUNICAÇAO PROFIBUS DPV1 E DPV0</v>
      </c>
      <c r="C1887" t="str">
        <f>"54380018"</f>
        <v>54380018</v>
      </c>
      <c r="D1887" s="9"/>
      <c r="E1887" s="14" t="s">
        <v>15</v>
      </c>
    </row>
    <row r="1888" spans="1:5" ht="15.75" x14ac:dyDescent="0.25">
      <c r="A1888" s="5">
        <v>4</v>
      </c>
      <c r="B1888" s="6" t="str">
        <f>"MODULO REFRESHING BUS 24 VDC"</f>
        <v>MODULO REFRESHING BUS 24 VDC</v>
      </c>
      <c r="C1888" s="6" t="str">
        <f>"54380021"</f>
        <v>54380021</v>
      </c>
      <c r="D1888" s="10"/>
      <c r="E1888" s="14" t="s">
        <v>15</v>
      </c>
    </row>
    <row r="1889" spans="1:5" ht="15.75" x14ac:dyDescent="0.25">
      <c r="A1889" s="4">
        <v>1</v>
      </c>
      <c r="B1889" t="str">
        <f>"MODULO COM. GATEWAY PROFINET/ETHERNET SAFELOGIC - REXROTH"</f>
        <v>MODULO COM. GATEWAY PROFINET/ETHERNET SAFELOGIC - REXROTH</v>
      </c>
      <c r="C1889" t="str">
        <f>"54380024"</f>
        <v>54380024</v>
      </c>
      <c r="D1889" s="9"/>
      <c r="E1889" s="14" t="s">
        <v>15</v>
      </c>
    </row>
    <row r="1890" spans="1:5" ht="15.75" x14ac:dyDescent="0.25">
      <c r="A1890" s="5">
        <v>1</v>
      </c>
      <c r="B1890" s="6" t="str">
        <f>"MODULO COMUNICAÇAO PROFIBUS CLP DE SEGURANÇA - REXROTH"</f>
        <v>MODULO COMUNICAÇAO PROFIBUS CLP DE SEGURANÇA - REXROTH</v>
      </c>
      <c r="C1890" s="6" t="str">
        <f>"54380027"</f>
        <v>54380027</v>
      </c>
      <c r="D1890" s="10"/>
      <c r="E1890" s="14" t="s">
        <v>15</v>
      </c>
    </row>
    <row r="1891" spans="1:5" ht="15.75" x14ac:dyDescent="0.25">
      <c r="A1891" s="4">
        <v>2</v>
      </c>
      <c r="B1891" t="str">
        <f>"MOD.LUMINOSO 70MM LED CONT. AMARELO"</f>
        <v>MOD.LUMINOSO 70MM LED CONT. AMARELO</v>
      </c>
      <c r="C1891" t="str">
        <f>"54380028"</f>
        <v>54380028</v>
      </c>
      <c r="D1891" s="9"/>
      <c r="E1891" s="14" t="s">
        <v>15</v>
      </c>
    </row>
    <row r="1892" spans="1:5" ht="15.75" x14ac:dyDescent="0.25">
      <c r="A1892" s="5">
        <v>1</v>
      </c>
      <c r="B1892" s="6" t="str">
        <f>"MOD.LUMINOSO 70MM LED CONT.  VERDE"</f>
        <v>MOD.LUMINOSO 70MM LED CONT.  VERDE</v>
      </c>
      <c r="C1892" s="6" t="str">
        <f>"54380029"</f>
        <v>54380029</v>
      </c>
      <c r="D1892" s="10"/>
      <c r="E1892" s="14" t="s">
        <v>15</v>
      </c>
    </row>
    <row r="1893" spans="1:5" ht="15.75" x14ac:dyDescent="0.25">
      <c r="A1893" s="4">
        <v>1</v>
      </c>
      <c r="B1893" t="str">
        <f>"MOD.LUMINOSO 70MM LED CONT. VERMELHO"</f>
        <v>MOD.LUMINOSO 70MM LED CONT. VERMELHO</v>
      </c>
      <c r="C1893" t="str">
        <f>"54380030"</f>
        <v>54380030</v>
      </c>
      <c r="D1893" s="9"/>
      <c r="E1893" s="14" t="s">
        <v>15</v>
      </c>
    </row>
    <row r="1894" spans="1:5" ht="15.75" x14ac:dyDescent="0.25">
      <c r="A1894" s="5">
        <v>1</v>
      </c>
      <c r="B1894" s="6" t="str">
        <f>"MODULO DE CONTAGEM RAPIDA 200 kHZ (2 CANAIS + 2 SAÍDAS PWM)"</f>
        <v>MODULO DE CONTAGEM RAPIDA 200 kHZ (2 CANAIS + 2 SAÍDAS PWM)</v>
      </c>
      <c r="C1894" s="6" t="str">
        <f>"54380040"</f>
        <v>54380040</v>
      </c>
      <c r="D1894" s="10"/>
      <c r="E1894" s="14" t="s">
        <v>15</v>
      </c>
    </row>
    <row r="1895" spans="1:5" ht="15.75" x14ac:dyDescent="0.25">
      <c r="A1895" s="4">
        <v>10</v>
      </c>
      <c r="B1895" t="str">
        <f>"MODULO 8 ENTRADAS E 4 SAÍDAS SEGURAS - REXROTH"</f>
        <v>MODULO 8 ENTRADAS E 4 SAÍDAS SEGURAS - REXROTH</v>
      </c>
      <c r="C1895" t="str">
        <f>"54380067"</f>
        <v>54380067</v>
      </c>
      <c r="D1895" s="9"/>
      <c r="E1895" s="14" t="s">
        <v>15</v>
      </c>
    </row>
    <row r="1896" spans="1:5" ht="15.75" x14ac:dyDescent="0.25">
      <c r="A1896" s="5">
        <v>5</v>
      </c>
      <c r="B1896" s="6" t="str">
        <f>"MODULO 8 ENTRADAS SEGURAS - REXROTH"</f>
        <v>MODULO 8 ENTRADAS SEGURAS - REXROTH</v>
      </c>
      <c r="C1896" s="6" t="str">
        <f>"54380068"</f>
        <v>54380068</v>
      </c>
      <c r="D1896" s="10"/>
      <c r="E1896" s="14" t="s">
        <v>15</v>
      </c>
    </row>
    <row r="1897" spans="1:5" ht="15.75" x14ac:dyDescent="0.25">
      <c r="A1897" s="4">
        <v>7</v>
      </c>
      <c r="B1897" t="str">
        <f>"MODULO A RELE DE SEGURANÇA 2 X (1NF 2NA 1DO) - REXROTH"</f>
        <v>MODULO A RELE DE SEGURANÇA 2 X (1NF 2NA 1DO) - REXROTH</v>
      </c>
      <c r="C1897" t="str">
        <f>"54380069"</f>
        <v>54380069</v>
      </c>
      <c r="D1897" s="9"/>
      <c r="E1897" s="14" t="s">
        <v>15</v>
      </c>
    </row>
    <row r="1898" spans="1:5" ht="15.75" x14ac:dyDescent="0.25">
      <c r="A1898" s="5">
        <v>1</v>
      </c>
      <c r="B1898" s="6" t="str">
        <f>"MODULO INTERFACE S20-DIDO-8/1"</f>
        <v>MODULO INTERFACE S20-DIDO-8/1</v>
      </c>
      <c r="C1898" s="6" t="str">
        <f>"54380075"</f>
        <v>54380075</v>
      </c>
      <c r="D1898" s="10"/>
      <c r="E1898" s="14" t="s">
        <v>15</v>
      </c>
    </row>
    <row r="1899" spans="1:5" ht="15.75" x14ac:dyDescent="0.25">
      <c r="A1899" s="4">
        <v>1</v>
      </c>
      <c r="B1899" t="str">
        <f>"MODULO SEGURANÇA DIGITAL - BOSCH"</f>
        <v>MODULO SEGURANÇA DIGITAL - BOSCH</v>
      </c>
      <c r="C1899" t="str">
        <f>"54380076"</f>
        <v>54380076</v>
      </c>
      <c r="D1899" s="9"/>
      <c r="E1899" s="14" t="s">
        <v>15</v>
      </c>
    </row>
    <row r="1900" spans="1:5" ht="15.75" x14ac:dyDescent="0.25">
      <c r="A1900" s="5">
        <v>1</v>
      </c>
      <c r="B1900" s="6" t="str">
        <f>"MODULO P/ MLC - 24 DO 16 PAC"</f>
        <v>MODULO P/ MLC - 24 DO 16 PAC</v>
      </c>
      <c r="C1900" s="6" t="str">
        <f>"54380083"</f>
        <v>54380083</v>
      </c>
      <c r="D1900" s="10"/>
      <c r="E1900" s="14" t="s">
        <v>15</v>
      </c>
    </row>
    <row r="1901" spans="1:5" ht="15.75" x14ac:dyDescent="0.25">
      <c r="A1901" s="4">
        <v>1</v>
      </c>
      <c r="B1901" t="str">
        <f>"MODULO P/ XM2200 - 32 DO"</f>
        <v>MODULO P/ XM2200 - 32 DO</v>
      </c>
      <c r="C1901" t="str">
        <f>"54380090"</f>
        <v>54380090</v>
      </c>
      <c r="D1901" s="9"/>
      <c r="E1901" s="14" t="s">
        <v>15</v>
      </c>
    </row>
    <row r="1902" spans="1:5" ht="15.75" x14ac:dyDescent="0.25">
      <c r="A1902" s="5">
        <v>1</v>
      </c>
      <c r="B1902" s="6" t="str">
        <f>"MODULO P/ XM2200 - 32 DI"</f>
        <v>MODULO P/ XM2200 - 32 DI</v>
      </c>
      <c r="C1902" s="6" t="str">
        <f>"54380095"</f>
        <v>54380095</v>
      </c>
      <c r="D1902" s="10"/>
      <c r="E1902" s="14" t="s">
        <v>15</v>
      </c>
    </row>
    <row r="1903" spans="1:5" ht="15.75" x14ac:dyDescent="0.25">
      <c r="A1903" s="4">
        <v>5</v>
      </c>
      <c r="B1903" t="str">
        <f>"MODULO DE I/O 16 SAIDAS P/ CONECTOR"</f>
        <v>MODULO DE I/O 16 SAIDAS P/ CONECTOR</v>
      </c>
      <c r="C1903" t="str">
        <f>"54380500"</f>
        <v>54380500</v>
      </c>
      <c r="D1903" s="9"/>
      <c r="E1903" s="14" t="s">
        <v>15</v>
      </c>
    </row>
    <row r="1904" spans="1:5" ht="15.75" x14ac:dyDescent="0.25">
      <c r="A1904" s="5">
        <v>1</v>
      </c>
      <c r="B1904" s="6" t="str">
        <f>"MODULO CUBE67 PLUS NÓ DE REDE PROFIBUS"</f>
        <v>MODULO CUBE67 PLUS NÓ DE REDE PROFIBUS</v>
      </c>
      <c r="C1904" s="6" t="str">
        <f>"54380501"</f>
        <v>54380501</v>
      </c>
      <c r="D1904" s="10"/>
      <c r="E1904" s="14" t="s">
        <v>15</v>
      </c>
    </row>
    <row r="1905" spans="1:5" ht="15.75" x14ac:dyDescent="0.25">
      <c r="A1905" s="4">
        <v>3</v>
      </c>
      <c r="B1905" t="str">
        <f>"MODULO CUBE67 EXPANSÃO IP67 8 DIO"</f>
        <v>MODULO CUBE67 EXPANSÃO IP67 8 DIO</v>
      </c>
      <c r="C1905" t="str">
        <f>"54380506"</f>
        <v>54380506</v>
      </c>
      <c r="D1905" s="9"/>
      <c r="E1905" s="14" t="s">
        <v>15</v>
      </c>
    </row>
    <row r="1906" spans="1:5" ht="15.75" x14ac:dyDescent="0.25">
      <c r="A1906" s="5">
        <v>2</v>
      </c>
      <c r="B1906" s="6" t="str">
        <f>"MODULO DE I/O 8 SAIDAS  E 8 ENTRADAS P/ CONECTOR"</f>
        <v>MODULO DE I/O 8 SAIDAS  E 8 ENTRADAS P/ CONECTOR</v>
      </c>
      <c r="C1906" s="6" t="str">
        <f>"54380510"</f>
        <v>54380510</v>
      </c>
      <c r="D1906" s="10"/>
      <c r="E1906" s="14" t="s">
        <v>15</v>
      </c>
    </row>
    <row r="1907" spans="1:5" ht="15.75" x14ac:dyDescent="0.25">
      <c r="A1907" s="4">
        <v>1</v>
      </c>
      <c r="B1907" t="str">
        <f>"MOLDURA P/ TOMADA TMP"</f>
        <v>MOLDURA P/ TOMADA TMP</v>
      </c>
      <c r="C1907" t="str">
        <f>"54410100"</f>
        <v>54410100</v>
      </c>
      <c r="D1907" s="9"/>
      <c r="E1907" s="14" t="s">
        <v>15</v>
      </c>
    </row>
    <row r="1908" spans="1:5" ht="15.75" x14ac:dyDescent="0.25">
      <c r="A1908" s="5">
        <v>1</v>
      </c>
      <c r="B1908" s="6" t="str">
        <f>"MOLDURA P/ TOMADA DUPLA"</f>
        <v>MOLDURA P/ TOMADA DUPLA</v>
      </c>
      <c r="C1908" s="6" t="str">
        <f>"54410101"</f>
        <v>54410101</v>
      </c>
      <c r="D1908" s="10"/>
      <c r="E1908" s="14" t="s">
        <v>15</v>
      </c>
    </row>
    <row r="1909" spans="1:5" ht="15.75" x14ac:dyDescent="0.25">
      <c r="A1909" s="4">
        <v>2</v>
      </c>
      <c r="B1909" t="str">
        <f>"MOLDURA PARA ENTR. CABOS ( 2 LARGAS / 1 MEDIAS)"</f>
        <v>MOLDURA PARA ENTR. CABOS ( 2 LARGAS / 1 MEDIAS)</v>
      </c>
      <c r="C1909" t="str">
        <f>"54410110"</f>
        <v>54410110</v>
      </c>
      <c r="D1909" s="9"/>
      <c r="E1909" s="14" t="s">
        <v>15</v>
      </c>
    </row>
    <row r="1910" spans="1:5" ht="15.75" x14ac:dyDescent="0.25">
      <c r="A1910" s="5">
        <v>2</v>
      </c>
      <c r="B1910" s="6" t="str">
        <f>"MOLDURA PARA ENTR. CABOS  KDP/Z 24/28  MURR"</f>
        <v>MOLDURA PARA ENTR. CABOS  KDP/Z 24/28  MURR</v>
      </c>
      <c r="C1910" s="6" t="str">
        <f>"54410114"</f>
        <v>54410114</v>
      </c>
      <c r="D1910" s="10"/>
      <c r="E1910" s="14" t="s">
        <v>15</v>
      </c>
    </row>
    <row r="1911" spans="1:5" ht="15.75" x14ac:dyDescent="0.25">
      <c r="A1911" s="4">
        <v>1</v>
      </c>
      <c r="B1911" t="str">
        <f>"MONITOR DE 24 pol. - Touch Screen"</f>
        <v>MONITOR DE 24 pol. - Touch Screen</v>
      </c>
      <c r="C1911" t="str">
        <f>"54420018"</f>
        <v>54420018</v>
      </c>
      <c r="D1911" s="9"/>
      <c r="E1911" s="14" t="s">
        <v>15</v>
      </c>
    </row>
    <row r="1912" spans="1:5" ht="15.75" x14ac:dyDescent="0.25">
      <c r="A1912" s="5">
        <v>1</v>
      </c>
      <c r="B1912" s="6" t="str">
        <f>"MOSTRADOR DE VELOCIDADE DE 3 DIGITOS de 4"" 24Vcc"</f>
        <v>MOSTRADOR DE VELOCIDADE DE 3 DIGITOS de 4" 24Vcc</v>
      </c>
      <c r="C1912" s="6" t="str">
        <f>"54450002"</f>
        <v>54450002</v>
      </c>
      <c r="D1912" s="10"/>
      <c r="E1912" s="14" t="s">
        <v>15</v>
      </c>
    </row>
    <row r="1913" spans="1:5" ht="15.75" x14ac:dyDescent="0.25">
      <c r="A1913" s="4">
        <v>2</v>
      </c>
      <c r="B1913" t="str">
        <f>"MOTOR CA DE 1/2 CV - 4 POLOS C/ FREIO 380V -   B 14 E"</f>
        <v>MOTOR CA DE 1/2 CV - 4 POLOS C/ FREIO 380V -   B 14 E</v>
      </c>
      <c r="C1913" t="str">
        <f>"54460014"</f>
        <v>54460014</v>
      </c>
      <c r="D1913" s="9"/>
      <c r="E1913" s="14" t="s">
        <v>15</v>
      </c>
    </row>
    <row r="1914" spans="1:5" ht="15.75" x14ac:dyDescent="0.25">
      <c r="A1914" s="5">
        <v>2</v>
      </c>
      <c r="B1914" s="6" t="str">
        <f>"MOTOR CA DE 1/2 CV - 4 POLOS  C/ FREIO 380V - B 14 D"</f>
        <v>MOTOR CA DE 1/2 CV - 4 POLOS  C/ FREIO 380V - B 14 D</v>
      </c>
      <c r="C1914" s="6" t="str">
        <f>"54460015"</f>
        <v>54460015</v>
      </c>
      <c r="D1914" s="10"/>
      <c r="E1914" s="14" t="s">
        <v>15</v>
      </c>
    </row>
    <row r="1915" spans="1:5" ht="15.75" x14ac:dyDescent="0.25">
      <c r="A1915" s="4">
        <v>2</v>
      </c>
      <c r="B1915" t="str">
        <f>"MOTOR CA DE 2,0 CV - 4POLOS  C/ FREIO 380V - 90S FF-165 B5D"</f>
        <v>MOTOR CA DE 2,0 CV - 4POLOS  C/ FREIO 380V - 90S FF-165 B5D</v>
      </c>
      <c r="C1915" t="str">
        <f>"54460016"</f>
        <v>54460016</v>
      </c>
      <c r="D1915" s="9"/>
      <c r="E1915" s="14" t="s">
        <v>15</v>
      </c>
    </row>
    <row r="1916" spans="1:5" ht="15.75" x14ac:dyDescent="0.25">
      <c r="A1916" s="5">
        <v>40</v>
      </c>
      <c r="B1916" s="6" t="str">
        <f>"SERVOMOTOR MSK 040B-0600-NN-M1-UP0-NNNN"</f>
        <v>SERVOMOTOR MSK 040B-0600-NN-M1-UP0-NNNN</v>
      </c>
      <c r="C1916" s="6" t="str">
        <f>"54460025"</f>
        <v>54460025</v>
      </c>
      <c r="D1916" s="10"/>
      <c r="E1916" s="14" t="s">
        <v>15</v>
      </c>
    </row>
    <row r="1917" spans="1:5" ht="15.75" x14ac:dyDescent="0.25">
      <c r="A1917" s="4">
        <v>8</v>
      </c>
      <c r="B1917" t="str">
        <f>"SERVOMOTOR  MS2N07-D0BHN-CSUK0-NNNNN-NN"</f>
        <v>SERVOMOTOR  MS2N07-D0BHN-CSUK0-NNNNN-NN</v>
      </c>
      <c r="C1917" t="str">
        <f>"54460029"</f>
        <v>54460029</v>
      </c>
      <c r="D1917" s="9"/>
      <c r="E1917" s="14" t="s">
        <v>15</v>
      </c>
    </row>
    <row r="1918" spans="1:5" ht="15.75" x14ac:dyDescent="0.25">
      <c r="A1918" s="5">
        <v>8</v>
      </c>
      <c r="B1918" s="6" t="str">
        <f>"SERVOMOTOR MS2N10-F0BDN-CSVG0-NNNNN-NN"</f>
        <v>SERVOMOTOR MS2N10-F0BDN-CSVG0-NNNNN-NN</v>
      </c>
      <c r="C1918" s="6" t="str">
        <f>"54460030"</f>
        <v>54460030</v>
      </c>
      <c r="D1918" s="10"/>
      <c r="E1918" s="14" t="s">
        <v>15</v>
      </c>
    </row>
    <row r="1919" spans="1:5" ht="15.75" x14ac:dyDescent="0.25">
      <c r="A1919" s="4">
        <v>3</v>
      </c>
      <c r="B1919" t="str">
        <f>"MOTOR CA 6,0 CV - 4 P - 220/380 V/ 60 hz -  B5"</f>
        <v>MOTOR CA 6,0 CV - 4 P - 220/380 V/ 60 hz -  B5</v>
      </c>
      <c r="C1919" t="str">
        <f>"54460042"</f>
        <v>54460042</v>
      </c>
      <c r="D1919" s="9"/>
      <c r="E1919" s="14" t="s">
        <v>15</v>
      </c>
    </row>
    <row r="1920" spans="1:5" ht="15.75" x14ac:dyDescent="0.25">
      <c r="A1920" s="5">
        <v>1</v>
      </c>
      <c r="B1920" s="6" t="str">
        <f>"MT CA 6CV 220/380V 60HZ-4P-FF S/DEF.+SUP.ENCOD+VENT.FORÇADA"</f>
        <v>MT CA 6CV 220/380V 60HZ-4P-FF S/DEF.+SUP.ENCOD+VENT.FORÇADA</v>
      </c>
      <c r="C1920" s="6" t="str">
        <f>"54460075"</f>
        <v>54460075</v>
      </c>
      <c r="D1920" s="10"/>
      <c r="E1920" s="14" t="s">
        <v>15</v>
      </c>
    </row>
    <row r="1921" spans="1:5" ht="15.75" x14ac:dyDescent="0.25">
      <c r="A1921" s="4">
        <v>2</v>
      </c>
      <c r="B1921" t="str">
        <f>"MT CA 25CV 220/380V 60HZ-4P-FF S/DEF.+SUP.ENCOD+VENT.FORÇADA"</f>
        <v>MT CA 25CV 220/380V 60HZ-4P-FF S/DEF.+SUP.ENCOD+VENT.FORÇADA</v>
      </c>
      <c r="C1921" t="str">
        <f>"54460090"</f>
        <v>54460090</v>
      </c>
      <c r="D1921" s="9"/>
      <c r="E1921" s="14" t="s">
        <v>15</v>
      </c>
    </row>
    <row r="1922" spans="1:5" ht="15.75" x14ac:dyDescent="0.25">
      <c r="A1922" s="5">
        <v>2</v>
      </c>
      <c r="B1922" s="6" t="str">
        <f>"MT CA 25CV 220/380V 60HZ-4P-FF S/DEF.+SUP.ENCOD+VENT.FORÇADA"</f>
        <v>MT CA 25CV 220/380V 60HZ-4P-FF S/DEF.+SUP.ENCOD+VENT.FORÇADA</v>
      </c>
      <c r="C1922" s="6" t="str">
        <f>"54460091"</f>
        <v>54460091</v>
      </c>
      <c r="D1922" s="10"/>
      <c r="E1922" s="14" t="s">
        <v>15</v>
      </c>
    </row>
    <row r="1923" spans="1:5" ht="15.75" x14ac:dyDescent="0.25">
      <c r="A1923" s="4">
        <v>1</v>
      </c>
      <c r="B1923" t="str">
        <f>"MOTOR CA DE 2 CV - Trif. 220/380 V 60 HZ- 2 P/80/ FF165/V1"</f>
        <v>MOTOR CA DE 2 CV - Trif. 220/380 V 60 HZ- 2 P/80/ FF165/V1</v>
      </c>
      <c r="C1923" t="str">
        <f>"54460210"</f>
        <v>54460210</v>
      </c>
      <c r="D1923" s="9"/>
      <c r="E1923" s="14" t="s">
        <v>15</v>
      </c>
    </row>
    <row r="1924" spans="1:5" ht="15.75" x14ac:dyDescent="0.25">
      <c r="A1924" s="5">
        <v>1</v>
      </c>
      <c r="B1924" s="6" t="str">
        <f>"MOTOR CA - 10 CV - Trif. 220/380 V 60 HZ- 4 P/132S/B5"</f>
        <v>MOTOR CA - 10 CV - Trif. 220/380 V 60 HZ- 4 P/132S/B5</v>
      </c>
      <c r="C1924" s="6" t="str">
        <f>"54460309"</f>
        <v>54460309</v>
      </c>
      <c r="D1924" s="10"/>
      <c r="E1924" s="14" t="s">
        <v>15</v>
      </c>
    </row>
    <row r="1925" spans="1:5" ht="15.75" x14ac:dyDescent="0.25">
      <c r="A1925" s="4">
        <v>1</v>
      </c>
      <c r="B1925" t="str">
        <f>"MOTOR SERVO  1900 N/m - Rotor"</f>
        <v>MOTOR SERVO  1900 N/m - Rotor</v>
      </c>
      <c r="C1925" t="str">
        <f>"54460800"</f>
        <v>54460800</v>
      </c>
      <c r="D1925" s="9"/>
      <c r="E1925" s="14" t="s">
        <v>15</v>
      </c>
    </row>
    <row r="1926" spans="1:5" ht="15.75" x14ac:dyDescent="0.25">
      <c r="A1926" s="5">
        <v>1</v>
      </c>
      <c r="B1926" s="6" t="str">
        <f>"MOTOR SERVO  1900 N/m - Extrator"</f>
        <v>MOTOR SERVO  1900 N/m - Extrator</v>
      </c>
      <c r="C1926" s="6" t="str">
        <f>"54460801"</f>
        <v>54460801</v>
      </c>
      <c r="D1926" s="10"/>
      <c r="E1926" s="14" t="s">
        <v>15</v>
      </c>
    </row>
    <row r="1927" spans="1:5" ht="15.75" x14ac:dyDescent="0.25">
      <c r="A1927" s="4">
        <v>1</v>
      </c>
      <c r="B1927" t="str">
        <f>"Nobreak de 6 Kva - 220 v / 220 v - bifasico   9PX ( EATON )"</f>
        <v>Nobreak de 6 Kva - 220 v / 220 v - bifasico   9PX ( EATON )</v>
      </c>
      <c r="C1927" t="str">
        <f>"54560010"</f>
        <v>54560010</v>
      </c>
      <c r="D1927" s="9"/>
      <c r="E1927" s="14" t="s">
        <v>15</v>
      </c>
    </row>
    <row r="1928" spans="1:5" ht="15.75" x14ac:dyDescent="0.25">
      <c r="A1928" s="5">
        <v>5</v>
      </c>
      <c r="B1928" s="6" t="str">
        <f>"PARTIDA DIRETA PARA MOTOR 0,4 A (24 VDC)"</f>
        <v>PARTIDA DIRETA PARA MOTOR 0,4 A (24 VDC)</v>
      </c>
      <c r="C1928" s="6" t="str">
        <f>"54770101"</f>
        <v>54770101</v>
      </c>
      <c r="D1928" s="10"/>
      <c r="E1928" s="14" t="s">
        <v>15</v>
      </c>
    </row>
    <row r="1929" spans="1:5" ht="15.75" x14ac:dyDescent="0.25">
      <c r="A1929" s="4">
        <v>2</v>
      </c>
      <c r="B1929" t="str">
        <f>"PARTIDA DIRETA PARA MOTOR 1 A (24 VDC)"</f>
        <v>PARTIDA DIRETA PARA MOTOR 1 A (24 VDC)</v>
      </c>
      <c r="C1929" t="str">
        <f>"54770103"</f>
        <v>54770103</v>
      </c>
      <c r="D1929" s="9"/>
      <c r="E1929" s="14" t="s">
        <v>15</v>
      </c>
    </row>
    <row r="1930" spans="1:5" ht="15.75" x14ac:dyDescent="0.25">
      <c r="A1930" s="5">
        <v>2</v>
      </c>
      <c r="B1930" s="6" t="str">
        <f>"PARTIDA DIRETA PARA MOTOR 2,5 A (24VDC)"</f>
        <v>PARTIDA DIRETA PARA MOTOR 2,5 A (24VDC)</v>
      </c>
      <c r="C1930" s="6" t="str">
        <f>"54770105"</f>
        <v>54770105</v>
      </c>
      <c r="D1930" s="10"/>
      <c r="E1930" s="14" t="s">
        <v>15</v>
      </c>
    </row>
    <row r="1931" spans="1:5" ht="15.75" x14ac:dyDescent="0.25">
      <c r="A1931" s="4">
        <v>3</v>
      </c>
      <c r="B1931" t="str">
        <f>"PARTIDA DIRETA PARA MOTOR 4,0 A  NA (24VDC)"</f>
        <v>PARTIDA DIRETA PARA MOTOR 4,0 A  NA (24VDC)</v>
      </c>
      <c r="C1931" t="str">
        <f>"54770106"</f>
        <v>54770106</v>
      </c>
      <c r="D1931" s="9"/>
      <c r="E1931" s="14" t="s">
        <v>15</v>
      </c>
    </row>
    <row r="1932" spans="1:5" ht="15.75" x14ac:dyDescent="0.25">
      <c r="A1932" s="5">
        <v>3</v>
      </c>
      <c r="B1932" s="6" t="str">
        <f>"BASE 70MM PEDESTAL 100MM"</f>
        <v>BASE 70MM PEDESTAL 100MM</v>
      </c>
      <c r="C1932" s="6" t="str">
        <f>"54830001"</f>
        <v>54830001</v>
      </c>
      <c r="D1932" s="10"/>
      <c r="E1932" s="14" t="s">
        <v>15</v>
      </c>
    </row>
    <row r="1933" spans="1:5" ht="15.75" x14ac:dyDescent="0.25">
      <c r="A1933" s="4">
        <v>4</v>
      </c>
      <c r="B1933" t="str">
        <f>"PILHA ELETRICA 1,5 VOLTS - TAM AA"</f>
        <v>PILHA ELETRICA 1,5 VOLTS - TAM AA</v>
      </c>
      <c r="C1933" t="str">
        <f>"54860010"</f>
        <v>54860010</v>
      </c>
      <c r="D1933" s="9"/>
      <c r="E1933" s="14" t="s">
        <v>15</v>
      </c>
    </row>
    <row r="1934" spans="1:5" ht="15.75" x14ac:dyDescent="0.25">
      <c r="A1934" s="5">
        <v>2</v>
      </c>
      <c r="B1934" s="6" t="str">
        <f>"PILHA ELETRICA 1,5 VOLTS - TAM AAA"</f>
        <v>PILHA ELETRICA 1,5 VOLTS - TAM AAA</v>
      </c>
      <c r="C1934" s="6" t="str">
        <f>"54860011"</f>
        <v>54860011</v>
      </c>
      <c r="D1934" s="10"/>
      <c r="E1934" s="14" t="s">
        <v>15</v>
      </c>
    </row>
    <row r="1935" spans="1:5" ht="15.75" x14ac:dyDescent="0.25">
      <c r="A1935" s="4">
        <v>4</v>
      </c>
      <c r="B1935" t="str">
        <f>"PLACA P/ ENCODER P/ INVERSOR SSD ACIMA 4 KW"</f>
        <v>PLACA P/ ENCODER P/ INVERSOR SSD ACIMA 4 KW</v>
      </c>
      <c r="C1935" t="str">
        <f>"54920001"</f>
        <v>54920001</v>
      </c>
      <c r="D1935" s="9"/>
      <c r="E1935" s="14" t="s">
        <v>15</v>
      </c>
    </row>
    <row r="1936" spans="1:5" ht="15.75" x14ac:dyDescent="0.25">
      <c r="A1936" s="5">
        <v>1</v>
      </c>
      <c r="B1936" s="6" t="str">
        <f>"PLACA P/ ENCODER P/ INVERSOR SSD ATÉ 4 KW"</f>
        <v>PLACA P/ ENCODER P/ INVERSOR SSD ATÉ 4 KW</v>
      </c>
      <c r="C1936" s="6" t="str">
        <f>"54920002"</f>
        <v>54920002</v>
      </c>
      <c r="D1936" s="10"/>
      <c r="E1936" s="14" t="s">
        <v>15</v>
      </c>
    </row>
    <row r="1937" spans="1:5" ht="15.75" x14ac:dyDescent="0.25">
      <c r="A1937" s="4">
        <v>1</v>
      </c>
      <c r="B1937" t="str">
        <f>"PLACA P/ INVERSOR  SSD PARA REDE PROFIBUS ATE 4 KW"</f>
        <v>PLACA P/ INVERSOR  SSD PARA REDE PROFIBUS ATE 4 KW</v>
      </c>
      <c r="C1937" t="str">
        <f>"54920005"</f>
        <v>54920005</v>
      </c>
      <c r="D1937" s="9"/>
      <c r="E1937" s="14" t="s">
        <v>15</v>
      </c>
    </row>
    <row r="1938" spans="1:5" ht="15.75" x14ac:dyDescent="0.25">
      <c r="A1938" s="5">
        <v>4</v>
      </c>
      <c r="B1938" s="6" t="str">
        <f>"PLACA P/ INVERSOR SSD  P/ REDE PROFIBUS ACIMA DE 4 KW"</f>
        <v>PLACA P/ INVERSOR SSD  P/ REDE PROFIBUS ACIMA DE 4 KW</v>
      </c>
      <c r="C1938" s="6" t="str">
        <f>"54920006"</f>
        <v>54920006</v>
      </c>
      <c r="D1938" s="10"/>
      <c r="E1938" s="14" t="s">
        <v>15</v>
      </c>
    </row>
    <row r="1939" spans="1:5" ht="15.75" x14ac:dyDescent="0.25">
      <c r="A1939" s="4">
        <v>1</v>
      </c>
      <c r="B1939" t="str">
        <f>"PLACA SYSTEM BORD P/ INVERSOR 690P"</f>
        <v>PLACA SYSTEM BORD P/ INVERSOR 690P</v>
      </c>
      <c r="C1939" t="str">
        <f>"54920200"</f>
        <v>54920200</v>
      </c>
      <c r="D1939" s="9"/>
      <c r="E1939" s="14" t="s">
        <v>15</v>
      </c>
    </row>
    <row r="1940" spans="1:5" ht="15.75" x14ac:dyDescent="0.25">
      <c r="A1940" s="5">
        <v>1</v>
      </c>
      <c r="B1940" s="6" t="str">
        <f>"PLACA DE ACESSO A REDE -NOBREAK ( EATON )"</f>
        <v>PLACA DE ACESSO A REDE -NOBREAK ( EATON )</v>
      </c>
      <c r="C1940" s="6" t="str">
        <f>"54920408"</f>
        <v>54920408</v>
      </c>
      <c r="D1940" s="10"/>
      <c r="E1940" s="14" t="s">
        <v>15</v>
      </c>
    </row>
    <row r="1941" spans="1:5" ht="15.75" x14ac:dyDescent="0.25">
      <c r="A1941" s="4">
        <v>3</v>
      </c>
      <c r="B1941" t="str">
        <f>"PLACA DE PROFIBUS INVERSOR MARCA BOSCH"</f>
        <v>PLACA DE PROFIBUS INVERSOR MARCA BOSCH</v>
      </c>
      <c r="C1941" t="str">
        <f>"54920800"</f>
        <v>54920800</v>
      </c>
      <c r="D1941" s="9"/>
      <c r="E1941" s="14" t="s">
        <v>15</v>
      </c>
    </row>
    <row r="1942" spans="1:5" ht="15.75" x14ac:dyDescent="0.25">
      <c r="A1942" s="5">
        <v>2</v>
      </c>
      <c r="B1942" s="6" t="str">
        <f>"PLACA DE TERMINAIS P/ ENTR. /SAIDA DE CABOS 6 A 50 MM2"</f>
        <v>PLACA DE TERMINAIS P/ ENTR. /SAIDA DE CABOS 6 A 50 MM2</v>
      </c>
      <c r="C1942" s="6" t="str">
        <f>"54922008"</f>
        <v>54922008</v>
      </c>
      <c r="D1942" s="10"/>
      <c r="E1942" s="14" t="s">
        <v>15</v>
      </c>
    </row>
    <row r="1943" spans="1:5" ht="15.75" x14ac:dyDescent="0.25">
      <c r="A1943" s="4">
        <v>1</v>
      </c>
      <c r="B1943" t="str">
        <f>"PLACA DE TERMINAIS P/ ENTR. /SAIDA DE CABOS 35 A 120 MM2"</f>
        <v>PLACA DE TERMINAIS P/ ENTR. /SAIDA DE CABOS 35 A 120 MM2</v>
      </c>
      <c r="C1943" t="str">
        <f>"54922010"</f>
        <v>54922010</v>
      </c>
      <c r="D1943" s="9"/>
      <c r="E1943" s="14" t="s">
        <v>15</v>
      </c>
    </row>
    <row r="1944" spans="1:5" ht="15.75" x14ac:dyDescent="0.25">
      <c r="A1944" s="5">
        <v>1</v>
      </c>
      <c r="B1944" s="6" t="str">
        <f>"PLUG  2 P + T 32A 200/250V 6H AZ"</f>
        <v>PLUG  2 P + T 32A 200/250V 6H AZ</v>
      </c>
      <c r="C1944" s="6" t="str">
        <f>"54940010"</f>
        <v>54940010</v>
      </c>
      <c r="D1944" s="10"/>
      <c r="E1944" s="14" t="s">
        <v>15</v>
      </c>
    </row>
    <row r="1945" spans="1:5" ht="15.75" x14ac:dyDescent="0.25">
      <c r="A1945" s="4">
        <v>1</v>
      </c>
      <c r="B1945" t="str">
        <f>"PLUG MACHO CHATO 2 POLOS + TERRA 10 A"</f>
        <v>PLUG MACHO CHATO 2 POLOS + TERRA 10 A</v>
      </c>
      <c r="C1945" t="str">
        <f>"54940101"</f>
        <v>54940101</v>
      </c>
      <c r="D1945" s="9"/>
      <c r="E1945" s="14" t="s">
        <v>15</v>
      </c>
    </row>
    <row r="1946" spans="1:5" ht="15.75" x14ac:dyDescent="0.25">
      <c r="A1946" s="5">
        <v>1</v>
      </c>
      <c r="B1946" s="6" t="str">
        <f>"PONTE PARA MODULO BASE A MOLA 4 VIAS (CX C/ 10PÇ)"</f>
        <v>PONTE PARA MODULO BASE A MOLA 4 VIAS (CX C/ 10PÇ)</v>
      </c>
      <c r="C1946" s="6" t="str">
        <f>"54980020"</f>
        <v>54980020</v>
      </c>
      <c r="D1946" s="10"/>
      <c r="E1946" s="14" t="s">
        <v>15</v>
      </c>
    </row>
    <row r="1947" spans="1:5" ht="15.75" x14ac:dyDescent="0.25">
      <c r="A1947" s="4">
        <v>23</v>
      </c>
      <c r="B1947" t="str">
        <f>"PONTE PARA BORNE RELE"</f>
        <v>PONTE PARA BORNE RELE</v>
      </c>
      <c r="C1947" t="str">
        <f>"54980021"</f>
        <v>54980021</v>
      </c>
      <c r="D1947" s="9"/>
      <c r="E1947" s="14" t="s">
        <v>15</v>
      </c>
    </row>
    <row r="1948" spans="1:5" ht="15.75" x14ac:dyDescent="0.25">
      <c r="A1948" s="5">
        <v>6</v>
      </c>
      <c r="B1948" s="6" t="str">
        <f>"KIT DE JUMPERS PARA MODULO MIC"</f>
        <v>KIT DE JUMPERS PARA MODULO MIC</v>
      </c>
      <c r="C1948" s="6" t="str">
        <f>"54980030"</f>
        <v>54980030</v>
      </c>
      <c r="D1948" s="10"/>
      <c r="E1948" s="14" t="s">
        <v>15</v>
      </c>
    </row>
    <row r="1949" spans="1:5" ht="15.75" x14ac:dyDescent="0.25">
      <c r="A1949" s="4">
        <v>1</v>
      </c>
      <c r="B1949" t="str">
        <f>"PONTE METALICA P/ CONECTOR - SURTO COM O NEUTRO"</f>
        <v>PONTE METALICA P/ CONECTOR - SURTO COM O NEUTRO</v>
      </c>
      <c r="C1949" t="str">
        <f>"54980105"</f>
        <v>54980105</v>
      </c>
      <c r="D1949" s="9"/>
      <c r="E1949" s="14" t="s">
        <v>15</v>
      </c>
    </row>
    <row r="1950" spans="1:5" ht="15.75" x14ac:dyDescent="0.25">
      <c r="A1950" s="5">
        <v>2</v>
      </c>
      <c r="B1950" s="6" t="str">
        <f>"PORCA PG16 PLASTICO"</f>
        <v>PORCA PG16 PLASTICO</v>
      </c>
      <c r="C1950" s="6" t="str">
        <f>"55020016"</f>
        <v>55020016</v>
      </c>
      <c r="D1950" s="10"/>
      <c r="E1950" s="14" t="s">
        <v>15</v>
      </c>
    </row>
    <row r="1951" spans="1:5" ht="15.75" x14ac:dyDescent="0.25">
      <c r="A1951" s="4">
        <v>20</v>
      </c>
      <c r="B1951" t="str">
        <f>"PORCA PLASTICO -  PG21"</f>
        <v>PORCA PLASTICO -  PG21</v>
      </c>
      <c r="C1951" t="str">
        <f>"55020022"</f>
        <v>55020022</v>
      </c>
      <c r="D1951" s="9"/>
      <c r="E1951" s="14" t="s">
        <v>15</v>
      </c>
    </row>
    <row r="1952" spans="1:5" ht="15.75" x14ac:dyDescent="0.25">
      <c r="A1952" s="5">
        <v>1</v>
      </c>
      <c r="B1952" s="6" t="str">
        <f>"PORCA PLASTICA PG 29"</f>
        <v>PORCA PLASTICA PG 29</v>
      </c>
      <c r="C1952" s="6" t="str">
        <f>"55020029"</f>
        <v>55020029</v>
      </c>
      <c r="D1952" s="10"/>
      <c r="E1952" s="14" t="s">
        <v>15</v>
      </c>
    </row>
    <row r="1953" spans="1:5" ht="15.75" x14ac:dyDescent="0.25">
      <c r="A1953" s="4">
        <v>17</v>
      </c>
      <c r="B1953" t="str">
        <f>"PORCA PLASTICA PG 36"</f>
        <v>PORCA PLASTICA PG 36</v>
      </c>
      <c r="C1953" t="str">
        <f>"55020036"</f>
        <v>55020036</v>
      </c>
      <c r="D1953" s="9"/>
      <c r="E1953" s="14" t="s">
        <v>15</v>
      </c>
    </row>
    <row r="1954" spans="1:5" ht="15.75" x14ac:dyDescent="0.25">
      <c r="A1954" s="5">
        <v>2</v>
      </c>
      <c r="B1954" s="6" t="str">
        <f>"PORTA DOCUMENTOS  GRANDE"</f>
        <v>PORTA DOCUMENTOS  GRANDE</v>
      </c>
      <c r="C1954" s="6" t="str">
        <f>"55020200"</f>
        <v>55020200</v>
      </c>
      <c r="D1954" s="10"/>
      <c r="E1954" s="14" t="s">
        <v>15</v>
      </c>
    </row>
    <row r="1955" spans="1:5" ht="15.75" x14ac:dyDescent="0.25">
      <c r="A1955" s="4">
        <v>1000</v>
      </c>
      <c r="B1955" t="str">
        <f>"PORTA ETIQUETAS TRANP.PM 24/33 - 33 mm largura"</f>
        <v>PORTA ETIQUETAS TRANP.PM 24/33 - 33 mm largura</v>
      </c>
      <c r="C1955" t="str">
        <f>"55040008"</f>
        <v>55040008</v>
      </c>
      <c r="D1955" s="9"/>
      <c r="E1955" s="14" t="s">
        <v>15</v>
      </c>
    </row>
    <row r="1956" spans="1:5" ht="15.75" x14ac:dyDescent="0.25">
      <c r="A1956" s="5">
        <v>10</v>
      </c>
      <c r="B1956" s="6" t="str">
        <f>"POSTE PARA IDENTIFICAÇAO DE REGUAS 6 mm"</f>
        <v>POSTE PARA IDENTIFICAÇAO DE REGUAS 6 mm</v>
      </c>
      <c r="C1956" s="6" t="str">
        <f>"55050001"</f>
        <v>55050001</v>
      </c>
      <c r="D1956" s="10"/>
      <c r="E1956" s="14" t="s">
        <v>15</v>
      </c>
    </row>
    <row r="1957" spans="1:5" ht="15.75" x14ac:dyDescent="0.25">
      <c r="A1957" s="4">
        <v>20</v>
      </c>
      <c r="B1957" t="str">
        <f>"PRENSA CABO PG 9 ALETADO CZ"</f>
        <v>PRENSA CABO PG 9 ALETADO CZ</v>
      </c>
      <c r="C1957" t="str">
        <f>"55080001"</f>
        <v>55080001</v>
      </c>
      <c r="D1957" s="9"/>
      <c r="E1957" s="14" t="s">
        <v>15</v>
      </c>
    </row>
    <row r="1958" spans="1:5" ht="15.75" x14ac:dyDescent="0.25">
      <c r="A1958" s="5">
        <v>10</v>
      </c>
      <c r="B1958" s="6" t="str">
        <f>"PRENSA CABO PG 11 ALETADO CZ"</f>
        <v>PRENSA CABO PG 11 ALETADO CZ</v>
      </c>
      <c r="C1958" s="6" t="str">
        <f>"55080002"</f>
        <v>55080002</v>
      </c>
      <c r="D1958" s="10"/>
      <c r="E1958" s="14" t="s">
        <v>15</v>
      </c>
    </row>
    <row r="1959" spans="1:5" ht="15.75" x14ac:dyDescent="0.25">
      <c r="A1959" s="4">
        <v>8</v>
      </c>
      <c r="B1959" t="str">
        <f>"PRENSA CABO PG 16 ALETADO CZ"</f>
        <v>PRENSA CABO PG 16 ALETADO CZ</v>
      </c>
      <c r="C1959" t="str">
        <f>"55080004"</f>
        <v>55080004</v>
      </c>
      <c r="D1959" s="9"/>
      <c r="E1959" s="14" t="s">
        <v>15</v>
      </c>
    </row>
    <row r="1960" spans="1:5" ht="15.75" x14ac:dyDescent="0.25">
      <c r="A1960" s="5">
        <v>32</v>
      </c>
      <c r="B1960" s="6" t="str">
        <f>"PRENSA CABO PG 21 ALETADO C/ PORCA"</f>
        <v>PRENSA CABO PG 21 ALETADO C/ PORCA</v>
      </c>
      <c r="C1960" s="6" t="str">
        <f>"55080005"</f>
        <v>55080005</v>
      </c>
      <c r="D1960" s="10"/>
      <c r="E1960" s="14" t="s">
        <v>15</v>
      </c>
    </row>
    <row r="1961" spans="1:5" ht="15.75" x14ac:dyDescent="0.25">
      <c r="A1961" s="4">
        <v>5</v>
      </c>
      <c r="B1961" t="str">
        <f>"PRENSA CABO PG 29 ALETADO CZ"</f>
        <v>PRENSA CABO PG 29 ALETADO CZ</v>
      </c>
      <c r="C1961" t="str">
        <f>"55080006"</f>
        <v>55080006</v>
      </c>
      <c r="D1961" s="9"/>
      <c r="E1961" s="14" t="s">
        <v>15</v>
      </c>
    </row>
    <row r="1962" spans="1:5" ht="15.75" x14ac:dyDescent="0.25">
      <c r="A1962" s="5">
        <v>1</v>
      </c>
      <c r="B1962" s="6" t="str">
        <f>"PRENSA CABO PG 29 ALETADO M40 X 1,5     Murr"</f>
        <v>PRENSA CABO PG 29 ALETADO M40 X 1,5     Murr</v>
      </c>
      <c r="C1962" s="6" t="str">
        <f>"55080009"</f>
        <v>55080009</v>
      </c>
      <c r="D1962" s="10"/>
      <c r="E1962" s="14" t="s">
        <v>15</v>
      </c>
    </row>
    <row r="1963" spans="1:5" ht="15.75" x14ac:dyDescent="0.25">
      <c r="A1963" s="4">
        <v>6</v>
      </c>
      <c r="B1963" t="str">
        <f>"PRENSA CABO 1/2"""</f>
        <v>PRENSA CABO 1/2"</v>
      </c>
      <c r="C1963" t="str">
        <f>"55080143"</f>
        <v>55080143</v>
      </c>
      <c r="D1963" s="9"/>
      <c r="E1963" s="14" t="s">
        <v>15</v>
      </c>
    </row>
    <row r="1964" spans="1:5" ht="15.75" x14ac:dyDescent="0.25">
      <c r="A1964" s="5">
        <v>2</v>
      </c>
      <c r="B1964" s="6" t="str">
        <f>"PRENSA CABO A2F NPT 3/4'  ALUMINIO GB IP66/68/68"</f>
        <v>PRENSA CABO A2F NPT 3/4'  ALUMINIO GB IP66/68/68</v>
      </c>
      <c r="C1964" s="6" t="str">
        <f>"55080186"</f>
        <v>55080186</v>
      </c>
      <c r="D1964" s="10"/>
      <c r="E1964" s="14" t="s">
        <v>15</v>
      </c>
    </row>
    <row r="1965" spans="1:5" ht="15.75" x14ac:dyDescent="0.25">
      <c r="A1965" s="4">
        <v>3</v>
      </c>
      <c r="B1965" t="str">
        <f>"PROTETOR CONTRA SURTO"</f>
        <v>PROTETOR CONTRA SURTO</v>
      </c>
      <c r="C1965" t="str">
        <f>"55140004"</f>
        <v>55140004</v>
      </c>
      <c r="D1965" s="9"/>
      <c r="E1965" s="14" t="s">
        <v>15</v>
      </c>
    </row>
    <row r="1966" spans="1:5" ht="15.75" x14ac:dyDescent="0.25">
      <c r="A1966" s="5">
        <v>1</v>
      </c>
      <c r="B1966" s="6" t="str">
        <f>"PROTETOR CIRCUITO ELTRICO -  SURTO + BASE"</f>
        <v>PROTETOR CIRCUITO ELTRICO -  SURTO + BASE</v>
      </c>
      <c r="C1966" s="6" t="str">
        <f>"55140020"</f>
        <v>55140020</v>
      </c>
      <c r="D1966" s="10"/>
      <c r="E1966" s="14" t="s">
        <v>15</v>
      </c>
    </row>
    <row r="1967" spans="1:5" ht="15.75" x14ac:dyDescent="0.25">
      <c r="A1967" s="4">
        <v>1</v>
      </c>
      <c r="B1967" t="str">
        <f>"REATANCIA  MOTOR CA 6 CV"</f>
        <v>REATANCIA  MOTOR CA 6 CV</v>
      </c>
      <c r="C1967" t="str">
        <f>"55280003"</f>
        <v>55280003</v>
      </c>
      <c r="D1967" s="9"/>
      <c r="E1967" s="14" t="s">
        <v>15</v>
      </c>
    </row>
    <row r="1968" spans="1:5" ht="15.75" x14ac:dyDescent="0.25">
      <c r="A1968" s="5">
        <v>4</v>
      </c>
      <c r="B1968" s="6" t="str">
        <f>"REATANCIA  MOTOR CA 30 CV   22K"</f>
        <v>REATANCIA  MOTOR CA 30 CV   22K</v>
      </c>
      <c r="C1968" s="6" t="str">
        <f>"55280006"</f>
        <v>55280006</v>
      </c>
      <c r="D1968" s="10"/>
      <c r="E1968" s="14" t="s">
        <v>15</v>
      </c>
    </row>
    <row r="1969" spans="1:5" ht="15.75" x14ac:dyDescent="0.25">
      <c r="A1969" s="4">
        <v>1</v>
      </c>
      <c r="B1969" t="str">
        <f>"REATANCIA  TRIFASICA BOSCH 125 A"</f>
        <v>REATANCIA  TRIFASICA BOSCH 125 A</v>
      </c>
      <c r="C1969" t="str">
        <f>"55280050"</f>
        <v>55280050</v>
      </c>
      <c r="D1969" s="9"/>
      <c r="E1969" s="14" t="s">
        <v>15</v>
      </c>
    </row>
    <row r="1970" spans="1:5" ht="15.75" x14ac:dyDescent="0.25">
      <c r="A1970" s="5">
        <v>3</v>
      </c>
      <c r="B1970" s="6" t="str">
        <f>"REGUA C/ 5 TOMADAS DE FORÇA C/ FILTRO DE LINHA C/ FUSIVEL"</f>
        <v>REGUA C/ 5 TOMADAS DE FORÇA C/ FILTRO DE LINHA C/ FUSIVEL</v>
      </c>
      <c r="C1970" s="6" t="str">
        <f>"55440505"</f>
        <v>55440505</v>
      </c>
      <c r="D1970" s="10"/>
      <c r="E1970" s="14" t="s">
        <v>15</v>
      </c>
    </row>
    <row r="1971" spans="1:5" ht="15.75" x14ac:dyDescent="0.25">
      <c r="A1971" s="4">
        <v>1</v>
      </c>
      <c r="B1971" t="str">
        <f>"REGUA DE BORNE P10+A31-X10"</f>
        <v>REGUA DE BORNE P10+A31-X10</v>
      </c>
      <c r="C1971" t="str">
        <f>"55440730"</f>
        <v>55440730</v>
      </c>
      <c r="D1971" s="9"/>
      <c r="E1971" s="14" t="s">
        <v>15</v>
      </c>
    </row>
    <row r="1972" spans="1:5" ht="15.75" x14ac:dyDescent="0.25">
      <c r="A1972" s="5">
        <v>1</v>
      </c>
      <c r="B1972" s="6" t="str">
        <f>"REGUA DE BORNE P10+P11-X11"</f>
        <v>REGUA DE BORNE P10+P11-X11</v>
      </c>
      <c r="C1972" s="6" t="str">
        <f>"55440731"</f>
        <v>55440731</v>
      </c>
      <c r="D1972" s="10"/>
      <c r="E1972" s="14" t="s">
        <v>15</v>
      </c>
    </row>
    <row r="1973" spans="1:5" ht="15.75" x14ac:dyDescent="0.25">
      <c r="A1973" s="4">
        <v>1</v>
      </c>
      <c r="B1973" t="str">
        <f>"REGUA DE BORNE P10+P11-X12"</f>
        <v>REGUA DE BORNE P10+P11-X12</v>
      </c>
      <c r="C1973" t="str">
        <f>"55440732"</f>
        <v>55440732</v>
      </c>
      <c r="D1973" s="9"/>
      <c r="E1973" s="14" t="s">
        <v>15</v>
      </c>
    </row>
    <row r="1974" spans="1:5" ht="15.75" x14ac:dyDescent="0.25">
      <c r="A1974" s="5">
        <v>1</v>
      </c>
      <c r="B1974" s="6" t="str">
        <f>"REGUA DE BORNE P10+P11-X13"</f>
        <v>REGUA DE BORNE P10+P11-X13</v>
      </c>
      <c r="C1974" s="6" t="str">
        <f>"55440733"</f>
        <v>55440733</v>
      </c>
      <c r="D1974" s="10"/>
      <c r="E1974" s="14" t="s">
        <v>15</v>
      </c>
    </row>
    <row r="1975" spans="1:5" ht="15.75" x14ac:dyDescent="0.25">
      <c r="A1975" s="4">
        <v>1</v>
      </c>
      <c r="B1975" t="str">
        <f>"REGUA DE BORNE P10+R15-X16"</f>
        <v>REGUA DE BORNE P10+R15-X16</v>
      </c>
      <c r="C1975" t="str">
        <f>"55440736"</f>
        <v>55440736</v>
      </c>
      <c r="D1975" s="9"/>
      <c r="E1975" s="14" t="s">
        <v>15</v>
      </c>
    </row>
    <row r="1976" spans="1:5" ht="15.75" x14ac:dyDescent="0.25">
      <c r="A1976" s="5">
        <v>1</v>
      </c>
      <c r="B1976" s="6" t="str">
        <f>"REGUA DE BORNE P10+R15-X17"</f>
        <v>REGUA DE BORNE P10+R15-X17</v>
      </c>
      <c r="C1976" s="6" t="str">
        <f>"55440737"</f>
        <v>55440737</v>
      </c>
      <c r="D1976" s="10"/>
      <c r="E1976" s="14" t="s">
        <v>15</v>
      </c>
    </row>
    <row r="1977" spans="1:5" ht="15.75" x14ac:dyDescent="0.25">
      <c r="A1977" s="4">
        <v>1</v>
      </c>
      <c r="B1977" t="str">
        <f>"REGUA DE BORNE P10+C12-X18"</f>
        <v>REGUA DE BORNE P10+C12-X18</v>
      </c>
      <c r="C1977" t="str">
        <f>"55440738"</f>
        <v>55440738</v>
      </c>
      <c r="D1977" s="9"/>
      <c r="E1977" s="14" t="s">
        <v>15</v>
      </c>
    </row>
    <row r="1978" spans="1:5" ht="15.75" x14ac:dyDescent="0.25">
      <c r="A1978" s="5">
        <v>1</v>
      </c>
      <c r="B1978" s="6" t="str">
        <f>"REGUA DE BORNE P10+C12-X19"</f>
        <v>REGUA DE BORNE P10+C12-X19</v>
      </c>
      <c r="C1978" s="6" t="str">
        <f>"55440739"</f>
        <v>55440739</v>
      </c>
      <c r="D1978" s="10"/>
      <c r="E1978" s="14" t="s">
        <v>15</v>
      </c>
    </row>
    <row r="1979" spans="1:5" ht="15.75" x14ac:dyDescent="0.25">
      <c r="A1979" s="4">
        <v>1</v>
      </c>
      <c r="B1979" t="str">
        <f>"REGUA DE BORNE P10+P11-X20"</f>
        <v>REGUA DE BORNE P10+P11-X20</v>
      </c>
      <c r="C1979" t="str">
        <f>"55440740"</f>
        <v>55440740</v>
      </c>
      <c r="D1979" s="9"/>
      <c r="E1979" s="14" t="s">
        <v>15</v>
      </c>
    </row>
    <row r="1980" spans="1:5" ht="15.75" x14ac:dyDescent="0.25">
      <c r="A1980" s="5">
        <v>1</v>
      </c>
      <c r="B1980" s="6" t="str">
        <f>"REGUA DE BORNE C50+C51-X21"</f>
        <v>REGUA DE BORNE C50+C51-X21</v>
      </c>
      <c r="C1980" s="6" t="str">
        <f>"55440741"</f>
        <v>55440741</v>
      </c>
      <c r="D1980" s="10"/>
      <c r="E1980" s="14" t="s">
        <v>15</v>
      </c>
    </row>
    <row r="1981" spans="1:5" ht="15.75" x14ac:dyDescent="0.25">
      <c r="A1981" s="4">
        <v>1</v>
      </c>
      <c r="B1981" t="str">
        <f>"REGUA DE BORNE PC70+PC71+X22"</f>
        <v>REGUA DE BORNE PC70+PC71+X22</v>
      </c>
      <c r="C1981" t="str">
        <f>"55440742"</f>
        <v>55440742</v>
      </c>
      <c r="D1981" s="9"/>
      <c r="E1981" s="14" t="s">
        <v>15</v>
      </c>
    </row>
    <row r="1982" spans="1:5" ht="15.75" x14ac:dyDescent="0.25">
      <c r="A1982" s="5">
        <v>1</v>
      </c>
      <c r="B1982" s="6" t="str">
        <f>"REGUA DE BORNE SLA90+L92-X23"</f>
        <v>REGUA DE BORNE SLA90+L92-X23</v>
      </c>
      <c r="C1982" s="6" t="str">
        <f>"55440743"</f>
        <v>55440743</v>
      </c>
      <c r="D1982" s="10"/>
      <c r="E1982" s="14" t="s">
        <v>15</v>
      </c>
    </row>
    <row r="1983" spans="1:5" ht="15.75" x14ac:dyDescent="0.25">
      <c r="A1983" s="4">
        <v>1</v>
      </c>
      <c r="B1983" t="str">
        <f>"REGUA DE BORNE SLA90+L92-X24"</f>
        <v>REGUA DE BORNE SLA90+L92-X24</v>
      </c>
      <c r="C1983" t="str">
        <f>"55440744"</f>
        <v>55440744</v>
      </c>
      <c r="D1983" s="9"/>
      <c r="E1983" s="14" t="s">
        <v>15</v>
      </c>
    </row>
    <row r="1984" spans="1:5" ht="15.75" x14ac:dyDescent="0.25">
      <c r="A1984" s="5">
        <v>1</v>
      </c>
      <c r="B1984" s="6" t="str">
        <f>"REGUA DE BORNE P10+C13-X34"</f>
        <v>REGUA DE BORNE P10+C13-X34</v>
      </c>
      <c r="C1984" s="6" t="str">
        <f>"55440746"</f>
        <v>55440746</v>
      </c>
      <c r="D1984" s="10"/>
      <c r="E1984" s="14" t="s">
        <v>15</v>
      </c>
    </row>
    <row r="1985" spans="1:5" ht="15.75" x14ac:dyDescent="0.25">
      <c r="A1985" s="4">
        <v>1</v>
      </c>
      <c r="B1985" t="str">
        <f>"REGUA DE BORNE P10+P11"</f>
        <v>REGUA DE BORNE P10+P11</v>
      </c>
      <c r="C1985" t="str">
        <f>"55440747"</f>
        <v>55440747</v>
      </c>
      <c r="D1985" s="9"/>
      <c r="E1985" s="14" t="s">
        <v>15</v>
      </c>
    </row>
    <row r="1986" spans="1:5" ht="15.75" x14ac:dyDescent="0.25">
      <c r="A1986" s="5">
        <v>1</v>
      </c>
      <c r="B1986" s="6" t="str">
        <f>"REGUA DE BORNE P10+A32-X1/2"</f>
        <v>REGUA DE BORNE P10+A32-X1/2</v>
      </c>
      <c r="C1986" s="6" t="str">
        <f>"55440748"</f>
        <v>55440748</v>
      </c>
      <c r="D1986" s="10"/>
      <c r="E1986" s="14" t="s">
        <v>15</v>
      </c>
    </row>
    <row r="1987" spans="1:5" ht="15.75" x14ac:dyDescent="0.25">
      <c r="A1987" s="4">
        <v>1</v>
      </c>
      <c r="B1987" t="str">
        <f>"REGUA DE BORNE P10+A32-X3/4"</f>
        <v>REGUA DE BORNE P10+A32-X3/4</v>
      </c>
      <c r="C1987" t="str">
        <f>"55440749"</f>
        <v>55440749</v>
      </c>
      <c r="D1987" s="9"/>
      <c r="E1987" s="14" t="s">
        <v>15</v>
      </c>
    </row>
    <row r="1988" spans="1:5" ht="15.75" x14ac:dyDescent="0.25">
      <c r="A1988" s="5">
        <v>1</v>
      </c>
      <c r="B1988" s="6" t="str">
        <f>"REGUA DE BORNE P10+A32-X5/6"</f>
        <v>REGUA DE BORNE P10+A32-X5/6</v>
      </c>
      <c r="C1988" s="6" t="str">
        <f>"55440750"</f>
        <v>55440750</v>
      </c>
      <c r="D1988" s="10"/>
      <c r="E1988" s="14" t="s">
        <v>15</v>
      </c>
    </row>
    <row r="1989" spans="1:5" ht="15.75" x14ac:dyDescent="0.25">
      <c r="A1989" s="4">
        <v>1</v>
      </c>
      <c r="B1989" t="str">
        <f>"REGUA DE BORNE P10+A32-X7/8"</f>
        <v>REGUA DE BORNE P10+A32-X7/8</v>
      </c>
      <c r="C1989" t="str">
        <f>"55440751"</f>
        <v>55440751</v>
      </c>
      <c r="D1989" s="9"/>
      <c r="E1989" s="14" t="s">
        <v>15</v>
      </c>
    </row>
    <row r="1990" spans="1:5" ht="15.75" x14ac:dyDescent="0.25">
      <c r="A1990" s="5">
        <v>1</v>
      </c>
      <c r="B1990" s="6" t="str">
        <f>"REGUA DE BORNE P10+R15-X15 (Rev1)"</f>
        <v>REGUA DE BORNE P10+R15-X15 (Rev1)</v>
      </c>
      <c r="C1990" s="6" t="str">
        <f>"55440752"</f>
        <v>55440752</v>
      </c>
      <c r="D1990" s="10"/>
      <c r="E1990" s="14" t="s">
        <v>15</v>
      </c>
    </row>
    <row r="1991" spans="1:5" ht="15.75" x14ac:dyDescent="0.25">
      <c r="A1991" s="4">
        <v>1</v>
      </c>
      <c r="B1991" t="str">
        <f>"REGUA DE BORNE P10+A31-X9 (Rev1)"</f>
        <v>REGUA DE BORNE P10+A31-X9 (Rev1)</v>
      </c>
      <c r="C1991" t="str">
        <f>"55440754"</f>
        <v>55440754</v>
      </c>
      <c r="D1991" s="9"/>
      <c r="E1991" s="14" t="s">
        <v>15</v>
      </c>
    </row>
    <row r="1992" spans="1:5" ht="15.75" x14ac:dyDescent="0.25">
      <c r="A1992" s="5">
        <v>1</v>
      </c>
      <c r="B1992" s="6" t="str">
        <f>"REGUA DE BORNE P10+P11-X14 (Rev1)"</f>
        <v>REGUA DE BORNE P10+P11-X14 (Rev1)</v>
      </c>
      <c r="C1992" s="6" t="str">
        <f>"55440755"</f>
        <v>55440755</v>
      </c>
      <c r="D1992" s="10"/>
      <c r="E1992" s="14" t="s">
        <v>15</v>
      </c>
    </row>
    <row r="1993" spans="1:5" ht="15.75" x14ac:dyDescent="0.25">
      <c r="A1993" s="4">
        <v>1</v>
      </c>
      <c r="B1993" t="str">
        <f>"REGUA DE BORNE P10 +  D20 - X35"</f>
        <v>REGUA DE BORNE P10 +  D20 - X35</v>
      </c>
      <c r="C1993" t="str">
        <f>"55440756"</f>
        <v>55440756</v>
      </c>
      <c r="D1993" s="9"/>
      <c r="E1993" s="14" t="s">
        <v>15</v>
      </c>
    </row>
    <row r="1994" spans="1:5" ht="15.75" x14ac:dyDescent="0.25">
      <c r="A1994" s="5">
        <v>1</v>
      </c>
      <c r="B1994" s="6" t="str">
        <f>"REGUA DE BORNE P10 +  E60 - X36"</f>
        <v>REGUA DE BORNE P10 +  E60 - X36</v>
      </c>
      <c r="C1994" s="6" t="str">
        <f>"55440757"</f>
        <v>55440757</v>
      </c>
      <c r="D1994" s="10"/>
      <c r="E1994" s="14" t="s">
        <v>15</v>
      </c>
    </row>
    <row r="1995" spans="1:5" ht="15.75" x14ac:dyDescent="0.25">
      <c r="A1995" s="4">
        <v>1</v>
      </c>
      <c r="B1995" t="str">
        <f>"REGUA DE BORNE P10 +  R15 - X41"</f>
        <v>REGUA DE BORNE P10 +  R15 - X41</v>
      </c>
      <c r="C1995" t="str">
        <f>"55440760"</f>
        <v>55440760</v>
      </c>
      <c r="D1995" s="9"/>
      <c r="E1995" s="14" t="s">
        <v>15</v>
      </c>
    </row>
    <row r="1996" spans="1:5" ht="15.75" x14ac:dyDescent="0.25">
      <c r="A1996" s="5">
        <v>1</v>
      </c>
      <c r="B1996" s="6" t="str">
        <f>"REGUA DE BORNE P10+D21-X38"</f>
        <v>REGUA DE BORNE P10+D21-X38</v>
      </c>
      <c r="C1996" s="6" t="str">
        <f>"55440761"</f>
        <v>55440761</v>
      </c>
      <c r="D1996" s="10"/>
      <c r="E1996" s="14" t="s">
        <v>15</v>
      </c>
    </row>
    <row r="1997" spans="1:5" ht="15.75" x14ac:dyDescent="0.25">
      <c r="A1997" s="4">
        <v>1</v>
      </c>
      <c r="B1997" t="str">
        <f>"RELE MONITORAMENTO DE FASE"</f>
        <v>RELE MONITORAMENTO DE FASE</v>
      </c>
      <c r="C1997" t="str">
        <f>"55480002"</f>
        <v>55480002</v>
      </c>
      <c r="D1997" s="9"/>
      <c r="E1997" s="14" t="s">
        <v>15</v>
      </c>
    </row>
    <row r="1998" spans="1:5" ht="15.75" x14ac:dyDescent="0.25">
      <c r="A1998" s="5">
        <v>4</v>
      </c>
      <c r="B1998" s="6" t="str">
        <f>"RESISTOR FRENAGEM  MOTOR 25 CV"</f>
        <v>RESISTOR FRENAGEM  MOTOR 25 CV</v>
      </c>
      <c r="C1998" s="6" t="str">
        <f>"55500003"</f>
        <v>55500003</v>
      </c>
      <c r="D1998" s="10"/>
      <c r="E1998" s="14" t="s">
        <v>15</v>
      </c>
    </row>
    <row r="1999" spans="1:5" ht="15.75" x14ac:dyDescent="0.25">
      <c r="A1999" s="4">
        <v>1</v>
      </c>
      <c r="B1999" t="str">
        <f>"RESISTOR FRENAGEM  MOTOR  SCI 100 ohms - 1KW"</f>
        <v>RESISTOR FRENAGEM  MOTOR  SCI 100 ohms - 1KW</v>
      </c>
      <c r="C1999" t="str">
        <f>"55500004"</f>
        <v>55500004</v>
      </c>
      <c r="D1999" s="9"/>
      <c r="E1999" s="14" t="s">
        <v>15</v>
      </c>
    </row>
    <row r="2000" spans="1:5" ht="15.75" x14ac:dyDescent="0.25">
      <c r="A2000" s="5">
        <v>3</v>
      </c>
      <c r="B2000" s="6" t="str">
        <f>"RESISTOR FRENAGEM INVERSOR BOSCH - 140 R"</f>
        <v>RESISTOR FRENAGEM INVERSOR BOSCH - 140 R</v>
      </c>
      <c r="C2000" s="6" t="str">
        <f>"55500031"</f>
        <v>55500031</v>
      </c>
      <c r="D2000" s="10"/>
      <c r="E2000" s="14" t="s">
        <v>15</v>
      </c>
    </row>
    <row r="2001" spans="1:5" ht="15.75" x14ac:dyDescent="0.25">
      <c r="A2001" s="4">
        <v>1</v>
      </c>
      <c r="B2001" t="str">
        <f>"RESISTOR FRENAGEM INVERSOR BOSCH - 075R"</f>
        <v>RESISTOR FRENAGEM INVERSOR BOSCH - 075R</v>
      </c>
      <c r="C2001" t="str">
        <f>"55500032"</f>
        <v>55500032</v>
      </c>
      <c r="D2001" s="9"/>
      <c r="E2001" s="14" t="s">
        <v>15</v>
      </c>
    </row>
    <row r="2002" spans="1:5" ht="15.75" x14ac:dyDescent="0.25">
      <c r="A2002" s="5">
        <v>96</v>
      </c>
      <c r="B2002" s="6" t="str">
        <f>"RESISTOR DE 1,75KW   380 VCA - ALETADA"</f>
        <v>RESISTOR DE 1,75KW   380 VCA - ALETADA</v>
      </c>
      <c r="C2002" s="6" t="str">
        <f>"55500100"</f>
        <v>55500100</v>
      </c>
      <c r="D2002" s="10"/>
      <c r="E2002" s="14" t="s">
        <v>15</v>
      </c>
    </row>
    <row r="2003" spans="1:5" ht="15.75" x14ac:dyDescent="0.25">
      <c r="A2003" s="4">
        <v>4</v>
      </c>
      <c r="B2003" t="str">
        <f>"RESISTOR DE TERMINAÇÃO P/ DISTRIBUIDOR/MODULO"</f>
        <v>RESISTOR DE TERMINAÇÃO P/ DISTRIBUIDOR/MODULO</v>
      </c>
      <c r="C2003" t="str">
        <f>"55500500"</f>
        <v>55500500</v>
      </c>
      <c r="D2003" s="9"/>
      <c r="E2003" s="14" t="s">
        <v>15</v>
      </c>
    </row>
    <row r="2004" spans="1:5" ht="15.75" x14ac:dyDescent="0.25">
      <c r="A2004" s="5">
        <v>5</v>
      </c>
      <c r="B2004" s="6" t="str">
        <f>"RESISTOR DE 2K2 OHMS 0,5 W"</f>
        <v>RESISTOR DE 2K2 OHMS 0,5 W</v>
      </c>
      <c r="C2004" s="6" t="str">
        <f>"55501000"</f>
        <v>55501000</v>
      </c>
      <c r="D2004" s="10"/>
      <c r="E2004" s="14" t="s">
        <v>15</v>
      </c>
    </row>
    <row r="2005" spans="1:5" ht="15.75" x14ac:dyDescent="0.25">
      <c r="A2005" s="4">
        <v>5</v>
      </c>
      <c r="B2005" t="str">
        <f>"SECCIONADORA SOB CARGA 100 A - NH000 - FIX. BARRA/TRIPOLAR"</f>
        <v>SECCIONADORA SOB CARGA 100 A - NH000 - FIX. BARRA/TRIPOLAR</v>
      </c>
      <c r="C2005" t="str">
        <f>"55680003"</f>
        <v>55680003</v>
      </c>
      <c r="D2005" s="9"/>
      <c r="E2005" s="14" t="s">
        <v>15</v>
      </c>
    </row>
    <row r="2006" spans="1:5" ht="15.75" x14ac:dyDescent="0.25">
      <c r="A2006" s="5">
        <v>1</v>
      </c>
      <c r="B2006" s="6" t="str">
        <f>"SECCIONADORA SOB CARGA 160 A - NH00 - FIX. PLACA/TRIPOLAR"</f>
        <v>SECCIONADORA SOB CARGA 160 A - NH00 - FIX. PLACA/TRIPOLAR</v>
      </c>
      <c r="C2006" s="6" t="str">
        <f>"55680004"</f>
        <v>55680004</v>
      </c>
      <c r="D2006" s="10"/>
      <c r="E2006" s="14" t="s">
        <v>15</v>
      </c>
    </row>
    <row r="2007" spans="1:5" ht="15.75" x14ac:dyDescent="0.25">
      <c r="A2007" s="4">
        <v>1</v>
      </c>
      <c r="B2007" t="str">
        <f>"SECCIONADORA SOB CARGA 160 A - NH00 - FIX. BARRA/TRIPOLAR"</f>
        <v>SECCIONADORA SOB CARGA 160 A - NH00 - FIX. BARRA/TRIPOLAR</v>
      </c>
      <c r="C2007" t="str">
        <f>"55680005"</f>
        <v>55680005</v>
      </c>
      <c r="D2007" s="9"/>
      <c r="E2007" s="14" t="s">
        <v>15</v>
      </c>
    </row>
    <row r="2008" spans="1:5" ht="15.75" x14ac:dyDescent="0.25">
      <c r="A2008" s="5">
        <v>1</v>
      </c>
      <c r="B2008" s="6" t="str">
        <f>"SECCIONADORA SOB CARGA 100 A - NH000 - FIX. PLACA - TRIPOLAR"</f>
        <v>SECCIONADORA SOB CARGA 100 A - NH000 - FIX. PLACA - TRIPOLAR</v>
      </c>
      <c r="C2008" s="6" t="str">
        <f>"55680006"</f>
        <v>55680006</v>
      </c>
      <c r="D2008" s="10"/>
      <c r="E2008" s="14" t="s">
        <v>15</v>
      </c>
    </row>
    <row r="2009" spans="1:5" ht="15.75" x14ac:dyDescent="0.25">
      <c r="A2009" s="4">
        <v>1</v>
      </c>
      <c r="B2009" t="str">
        <f>"SENSOR INDUTIVO M8 1NA CONECTOR M12 ( Nao Faceado )"</f>
        <v>SENSOR INDUTIVO M8 1NA CONECTOR M12 ( Nao Faceado )</v>
      </c>
      <c r="C2009" t="str">
        <f>"55700000"</f>
        <v>55700000</v>
      </c>
      <c r="D2009" s="9"/>
      <c r="E2009" s="14" t="s">
        <v>15</v>
      </c>
    </row>
    <row r="2010" spans="1:5" ht="15.75" x14ac:dyDescent="0.25">
      <c r="A2010" s="5">
        <v>30</v>
      </c>
      <c r="B2010" s="6" t="str">
        <f>"SENSOR INDUTIVO M8 X1  C/ 1 NA"</f>
        <v>SENSOR INDUTIVO M8 X1  C/ 1 NA</v>
      </c>
      <c r="C2010" s="6" t="str">
        <f>"55700001"</f>
        <v>55700001</v>
      </c>
      <c r="D2010" s="10"/>
      <c r="E2010" s="14" t="s">
        <v>15</v>
      </c>
    </row>
    <row r="2011" spans="1:5" ht="15.75" x14ac:dyDescent="0.25">
      <c r="A2011" s="4">
        <v>16</v>
      </c>
      <c r="B2011" t="str">
        <f>"SENSOR INDUTIVO M12 X 1,5 DC NF C/ CONECTOR"</f>
        <v>SENSOR INDUTIVO M12 X 1,5 DC NF C/ CONECTOR</v>
      </c>
      <c r="C2011" t="str">
        <f>"55700005"</f>
        <v>55700005</v>
      </c>
      <c r="D2011" s="9"/>
      <c r="E2011" s="14" t="s">
        <v>15</v>
      </c>
    </row>
    <row r="2012" spans="1:5" ht="15.75" x14ac:dyDescent="0.25">
      <c r="A2012" s="5">
        <v>2</v>
      </c>
      <c r="B2012" s="6" t="str">
        <f>"SENSOR INDUTIVO M12 X 1,5 DC NA C/ CONECTOR"</f>
        <v>SENSOR INDUTIVO M12 X 1,5 DC NA C/ CONECTOR</v>
      </c>
      <c r="C2012" s="6" t="str">
        <f>"55700011"</f>
        <v>55700011</v>
      </c>
      <c r="D2012" s="10"/>
      <c r="E2012" s="14" t="s">
        <v>15</v>
      </c>
    </row>
    <row r="2013" spans="1:5" ht="15.75" x14ac:dyDescent="0.25">
      <c r="A2013" s="4">
        <v>1</v>
      </c>
      <c r="B2013" t="str">
        <f>"SENSOR ULTRASONICO TUBULAR DE 18 MM C/ RANGE (30 to 300 MM)"</f>
        <v>SENSOR ULTRASONICO TUBULAR DE 18 MM C/ RANGE (30 to 300 MM)</v>
      </c>
      <c r="C2013" t="str">
        <f>"55700210"</f>
        <v>55700210</v>
      </c>
      <c r="D2013" s="9"/>
      <c r="E2013" s="14" t="s">
        <v>15</v>
      </c>
    </row>
    <row r="2014" spans="1:5" ht="15.75" x14ac:dyDescent="0.25">
      <c r="A2014" s="5">
        <v>1</v>
      </c>
      <c r="B2014" s="6" t="str">
        <f>"SENSOR ULTRASONICO TUBULAR DE 18 MM C/ RANGE (BALLUFF)"</f>
        <v>SENSOR ULTRASONICO TUBULAR DE 18 MM C/ RANGE (BALLUFF)</v>
      </c>
      <c r="C2014" s="6" t="str">
        <f>"55700212"</f>
        <v>55700212</v>
      </c>
      <c r="D2014" s="10"/>
      <c r="E2014" s="14" t="s">
        <v>15</v>
      </c>
    </row>
    <row r="2015" spans="1:5" ht="15.75" x14ac:dyDescent="0.25">
      <c r="A2015" s="4">
        <v>2</v>
      </c>
      <c r="B2015" t="str">
        <f>"SENSOR ÓTICO DE BARREIRA UNIDERECIONAL TUB. 18 MM (RECEPTOR)"</f>
        <v>SENSOR ÓTICO DE BARREIRA UNIDERECIONAL TUB. 18 MM (RECEPTOR)</v>
      </c>
      <c r="C2015" t="str">
        <f>"55700304"</f>
        <v>55700304</v>
      </c>
      <c r="D2015" s="9"/>
      <c r="E2015" s="14" t="s">
        <v>15</v>
      </c>
    </row>
    <row r="2016" spans="1:5" ht="15.75" x14ac:dyDescent="0.25">
      <c r="A2016" s="5">
        <v>2</v>
      </c>
      <c r="B2016" s="6" t="str">
        <f>"SENSOR ÓTICO BARREIRA UNIDIRECIONAL TUB. 18MM (TRANSMISSOR)"</f>
        <v>SENSOR ÓTICO BARREIRA UNIDIRECIONAL TUB. 18MM (TRANSMISSOR)</v>
      </c>
      <c r="C2016" s="6" t="str">
        <f>"55700305"</f>
        <v>55700305</v>
      </c>
      <c r="D2016" s="10"/>
      <c r="E2016" s="14" t="s">
        <v>15</v>
      </c>
    </row>
    <row r="2017" spans="1:5" ht="15.75" x14ac:dyDescent="0.25">
      <c r="A2017" s="4">
        <v>2</v>
      </c>
      <c r="B2017" t="str">
        <f>"SENSOR DE INCLINAÇÃO RETANGULAR 2 SAÍDAS ANALOGICAS 4-20mA"</f>
        <v>SENSOR DE INCLINAÇÃO RETANGULAR 2 SAÍDAS ANALOGICAS 4-20mA</v>
      </c>
      <c r="C2017" t="str">
        <f>"55700440"</f>
        <v>55700440</v>
      </c>
      <c r="D2017" s="9"/>
      <c r="E2017" s="14" t="s">
        <v>15</v>
      </c>
    </row>
    <row r="2018" spans="1:5" ht="15.75" x14ac:dyDescent="0.25">
      <c r="A2018" s="5">
        <v>2</v>
      </c>
      <c r="B2018" s="6" t="str">
        <f>"SENSOR RESISTIVO TIPO PT 100 3 FIOS 6 X 200 MM"</f>
        <v>SENSOR RESISTIVO TIPO PT 100 3 FIOS 6 X 200 MM</v>
      </c>
      <c r="C2018" s="6" t="str">
        <f>"55700500"</f>
        <v>55700500</v>
      </c>
      <c r="D2018" s="10"/>
      <c r="E2018" s="14" t="s">
        <v>15</v>
      </c>
    </row>
    <row r="2019" spans="1:5" ht="15.75" x14ac:dyDescent="0.25">
      <c r="A2019" s="4">
        <v>1</v>
      </c>
      <c r="B2019" t="str">
        <f>"SENSOR RESISTIVO TIPO PT 100 3 FIOS 6 X 500 MM"</f>
        <v>SENSOR RESISTIVO TIPO PT 100 3 FIOS 6 X 500 MM</v>
      </c>
      <c r="C2019" t="str">
        <f>"55700510"</f>
        <v>55700510</v>
      </c>
      <c r="D2019" s="9"/>
      <c r="E2019" s="14" t="s">
        <v>15</v>
      </c>
    </row>
    <row r="2020" spans="1:5" ht="15.75" x14ac:dyDescent="0.25">
      <c r="A2020" s="5">
        <v>1</v>
      </c>
      <c r="B2020" s="6" t="str">
        <f>"SENSOR RESISTIVO TIPO PT 100 3 FIOS 6 X 150 MM C/ POÇO"</f>
        <v>SENSOR RESISTIVO TIPO PT 100 3 FIOS 6 X 150 MM C/ POÇO</v>
      </c>
      <c r="C2020" s="6" t="str">
        <f>"55700520"</f>
        <v>55700520</v>
      </c>
      <c r="D2020" s="10"/>
      <c r="E2020" s="14" t="s">
        <v>15</v>
      </c>
    </row>
    <row r="2021" spans="1:5" ht="15.75" x14ac:dyDescent="0.25">
      <c r="A2021" s="4">
        <v>2</v>
      </c>
      <c r="B2021" t="str">
        <f>"SENSOR LASER COMP. DE ONDA 635 nm (VERM) C/ CABO 16 m"</f>
        <v>SENSOR LASER COMP. DE ONDA 635 nm (VERM) C/ CABO 16 m</v>
      </c>
      <c r="C2021" t="str">
        <f>"55700602"</f>
        <v>55700602</v>
      </c>
      <c r="D2021" s="9"/>
      <c r="E2021" s="14" t="s">
        <v>15</v>
      </c>
    </row>
    <row r="2022" spans="1:5" ht="15.75" x14ac:dyDescent="0.25">
      <c r="A2022" s="5">
        <v>5</v>
      </c>
      <c r="B2022" s="6" t="str">
        <f>"SENSOR MAGNETICO DE SEGURANÇA CONECTOR M8 2NF"</f>
        <v>SENSOR MAGNETICO DE SEGURANÇA CONECTOR M8 2NF</v>
      </c>
      <c r="C2022" s="6" t="str">
        <f>"55700610"</f>
        <v>55700610</v>
      </c>
      <c r="D2022" s="10"/>
      <c r="E2022" s="14" t="s">
        <v>15</v>
      </c>
    </row>
    <row r="2023" spans="1:5" ht="15.75" x14ac:dyDescent="0.25">
      <c r="A2023" s="4">
        <v>5</v>
      </c>
      <c r="B2023" t="str">
        <f>"ATUADOR P/ SENSOR MAGN. DE SEG.   BNS 260-1"</f>
        <v>ATUADOR P/ SENSOR MAGN. DE SEG.   BNS 260-1</v>
      </c>
      <c r="C2023" t="str">
        <f>"55700611"</f>
        <v>55700611</v>
      </c>
      <c r="D2023" s="9"/>
      <c r="E2023" s="14" t="s">
        <v>15</v>
      </c>
    </row>
    <row r="2024" spans="1:5" ht="15.75" x14ac:dyDescent="0.25">
      <c r="A2024" s="5">
        <v>5</v>
      </c>
      <c r="B2024" s="6" t="str">
        <f>"ATUADOR P/CHAVE DE SEG.   AZM 161 B1E"</f>
        <v>ATUADOR P/CHAVE DE SEG.   AZM 161 B1E</v>
      </c>
      <c r="C2024" s="6" t="str">
        <f>"55700614"</f>
        <v>55700614</v>
      </c>
      <c r="D2024" s="10"/>
      <c r="E2024" s="14" t="s">
        <v>15</v>
      </c>
    </row>
    <row r="2025" spans="1:5" ht="15.75" x14ac:dyDescent="0.25">
      <c r="A2025" s="4">
        <v>10</v>
      </c>
      <c r="B2025" t="str">
        <f>"ESPAÇADOR P/ SENSOR MAGNETICO  BNS - 260"</f>
        <v>ESPAÇADOR P/ SENSOR MAGNETICO  BNS - 260</v>
      </c>
      <c r="C2025" t="str">
        <f>"55700618"</f>
        <v>55700618</v>
      </c>
      <c r="D2025" s="9"/>
      <c r="E2025" s="14" t="s">
        <v>15</v>
      </c>
    </row>
    <row r="2026" spans="1:5" ht="15.75" x14ac:dyDescent="0.25">
      <c r="A2026" s="5">
        <v>2</v>
      </c>
      <c r="B2026" s="6" t="str">
        <f>"CORTINA DE LUZ DE SEGURANÇA"</f>
        <v>CORTINA DE LUZ DE SEGURANÇA</v>
      </c>
      <c r="C2026" s="6" t="str">
        <f>"55700620"</f>
        <v>55700620</v>
      </c>
      <c r="D2026" s="10"/>
      <c r="E2026" s="14" t="s">
        <v>15</v>
      </c>
    </row>
    <row r="2027" spans="1:5" ht="15.75" x14ac:dyDescent="0.25">
      <c r="A2027" s="4">
        <v>2</v>
      </c>
      <c r="B2027" t="str">
        <f>"SENSOR INFLAMAVEL  - ALTA TEMPERATURA  2106B2310"</f>
        <v>SENSOR INFLAMAVEL  - ALTA TEMPERATURA  2106B2310</v>
      </c>
      <c r="C2027" t="str">
        <f>"55700925"</f>
        <v>55700925</v>
      </c>
      <c r="D2027" s="9"/>
      <c r="E2027" s="14" t="s">
        <v>15</v>
      </c>
    </row>
    <row r="2028" spans="1:5" ht="15.75" x14ac:dyDescent="0.25">
      <c r="A2028" s="5">
        <v>2</v>
      </c>
      <c r="B2028" s="6" t="str">
        <f>"SENSOR INDUTIVO RETANGULAR  M12 X 4,0 MM"</f>
        <v>SENSOR INDUTIVO RETANGULAR  M12 X 4,0 MM</v>
      </c>
      <c r="C2028" s="6" t="str">
        <f>"55702003"</f>
        <v>55702003</v>
      </c>
      <c r="D2028" s="10"/>
      <c r="E2028" s="14" t="s">
        <v>15</v>
      </c>
    </row>
    <row r="2029" spans="1:5" ht="15.75" x14ac:dyDescent="0.25">
      <c r="A2029" s="4">
        <v>22</v>
      </c>
      <c r="B2029" t="str">
        <f>"SENSOR INDUTIVO M8 X1  C/ 1 NF"</f>
        <v>SENSOR INDUTIVO M8 X1  C/ 1 NF</v>
      </c>
      <c r="C2029" t="str">
        <f>"55702010"</f>
        <v>55702010</v>
      </c>
      <c r="D2029" s="9"/>
      <c r="E2029" s="14" t="s">
        <v>15</v>
      </c>
    </row>
    <row r="2030" spans="1:5" ht="15.75" x14ac:dyDescent="0.25">
      <c r="A2030" s="5">
        <v>4</v>
      </c>
      <c r="B2030" s="6" t="str">
        <f>"SINALEIRO AMARELO - 24 VCC - TIPO LED - 22MM - COMPLETO"</f>
        <v>SINALEIRO AMARELO - 24 VCC - TIPO LED - 22MM - COMPLETO</v>
      </c>
      <c r="C2030" s="6" t="str">
        <f>"55740051"</f>
        <v>55740051</v>
      </c>
      <c r="D2030" s="10"/>
      <c r="E2030" s="14" t="s">
        <v>15</v>
      </c>
    </row>
    <row r="2031" spans="1:5" ht="15.75" x14ac:dyDescent="0.25">
      <c r="A2031" s="4">
        <v>12</v>
      </c>
      <c r="B2031" t="str">
        <f>"SINALEIRO  VERDE - 24 VCC - TIPO LED - 22 MM - COMPLETO"</f>
        <v>SINALEIRO  VERDE - 24 VCC - TIPO LED - 22 MM - COMPLETO</v>
      </c>
      <c r="C2031" t="str">
        <f>"55740052"</f>
        <v>55740052</v>
      </c>
      <c r="D2031" s="9"/>
      <c r="E2031" s="14" t="s">
        <v>15</v>
      </c>
    </row>
    <row r="2032" spans="1:5" ht="15.75" x14ac:dyDescent="0.25">
      <c r="A2032" s="5">
        <v>5</v>
      </c>
      <c r="B2032" s="6" t="str">
        <f>"SINALEIRO  VERMELHA 24 VCC - TIPO LED - 22 MM - COMPLETO"</f>
        <v>SINALEIRO  VERMELHA 24 VCC - TIPO LED - 22 MM - COMPLETO</v>
      </c>
      <c r="C2032" s="6" t="str">
        <f>"55740053"</f>
        <v>55740053</v>
      </c>
      <c r="D2032" s="10"/>
      <c r="E2032" s="14" t="s">
        <v>15</v>
      </c>
    </row>
    <row r="2033" spans="1:5" ht="15.75" x14ac:dyDescent="0.25">
      <c r="A2033" s="4">
        <v>1</v>
      </c>
      <c r="B2033" t="str">
        <f>"COMUTADOR COM CHAVE 2 POS. - 22MM - ( EATON ) M22"</f>
        <v>COMUTADOR COM CHAVE 2 POS. - 22MM - ( EATON ) M22</v>
      </c>
      <c r="C2033" t="str">
        <f>"55740069"</f>
        <v>55740069</v>
      </c>
      <c r="D2033" s="9"/>
      <c r="E2033" s="14" t="s">
        <v>15</v>
      </c>
    </row>
    <row r="2034" spans="1:5" ht="15.75" x14ac:dyDescent="0.25">
      <c r="A2034" s="5">
        <v>3</v>
      </c>
      <c r="B2034" s="6" t="str">
        <f>"MOD.ACUSTICO 70MM 2 TONS SEL.I"</f>
        <v>MOD.ACUSTICO 70MM 2 TONS SEL.I</v>
      </c>
      <c r="C2034" s="6" t="str">
        <f>"55760001"</f>
        <v>55760001</v>
      </c>
      <c r="D2034" s="10"/>
      <c r="E2034" s="14" t="s">
        <v>15</v>
      </c>
    </row>
    <row r="2035" spans="1:5" ht="15.75" x14ac:dyDescent="0.25">
      <c r="A2035" s="4">
        <v>1</v>
      </c>
      <c r="B2035" t="str">
        <f>"SOLDA 1 mm - ESTANHO/CHUMBO   1,0 TUBINHO  22g"</f>
        <v>SOLDA 1 mm - ESTANHO/CHUMBO   1,0 TUBINHO  22g</v>
      </c>
      <c r="C2035" t="str">
        <f>"55820101"</f>
        <v>55820101</v>
      </c>
      <c r="D2035" s="9"/>
      <c r="E2035" s="14" t="s">
        <v>15</v>
      </c>
    </row>
    <row r="2036" spans="1:5" ht="15.75" x14ac:dyDescent="0.25">
      <c r="A2036" s="5">
        <v>18</v>
      </c>
      <c r="B2036" s="6" t="str">
        <f>"SOQUETE P/ LAMPADA LED (RABICHO)"</f>
        <v>SOQUETE P/ LAMPADA LED (RABICHO)</v>
      </c>
      <c r="C2036" s="6" t="str">
        <f>"55840002"</f>
        <v>55840002</v>
      </c>
      <c r="D2036" s="10"/>
      <c r="E2036" s="14" t="s">
        <v>15</v>
      </c>
    </row>
    <row r="2037" spans="1:5" ht="15.75" x14ac:dyDescent="0.25">
      <c r="A2037" s="4">
        <v>12</v>
      </c>
      <c r="B2037" t="str">
        <f>"SUPORTE ABERTO PARA CONDUITE - PG 11"</f>
        <v>SUPORTE ABERTO PARA CONDUITE - PG 11</v>
      </c>
      <c r="C2037" t="str">
        <f>"55860001"</f>
        <v>55860001</v>
      </c>
      <c r="D2037" s="9"/>
      <c r="E2037" s="14" t="s">
        <v>15</v>
      </c>
    </row>
    <row r="2038" spans="1:5" ht="15.75" x14ac:dyDescent="0.25">
      <c r="A2038" s="5">
        <v>6</v>
      </c>
      <c r="B2038" s="6" t="str">
        <f>"SUPORTE ABERTO PARA CONDUITE - PG 16"</f>
        <v>SUPORTE ABERTO PARA CONDUITE - PG 16</v>
      </c>
      <c r="C2038" s="6" t="str">
        <f>"55860002"</f>
        <v>55860002</v>
      </c>
      <c r="D2038" s="10"/>
      <c r="E2038" s="14" t="s">
        <v>15</v>
      </c>
    </row>
    <row r="2039" spans="1:5" ht="15.75" x14ac:dyDescent="0.25">
      <c r="A2039" s="4">
        <v>6</v>
      </c>
      <c r="B2039" t="str">
        <f>"SUPORTE ABERTO PARA CONDUITE - PG 29"</f>
        <v>SUPORTE ABERTO PARA CONDUITE - PG 29</v>
      </c>
      <c r="C2039" t="str">
        <f>"55860004"</f>
        <v>55860004</v>
      </c>
      <c r="D2039" s="9"/>
      <c r="E2039" s="14" t="s">
        <v>15</v>
      </c>
    </row>
    <row r="2040" spans="1:5" ht="15.75" x14ac:dyDescent="0.25">
      <c r="A2040" s="5">
        <v>2</v>
      </c>
      <c r="B2040" s="6" t="str">
        <f>"SUPORTE P/ BARRA DE COBRE  NEUTRO"</f>
        <v>SUPORTE P/ BARRA DE COBRE  NEUTRO</v>
      </c>
      <c r="C2040" s="6" t="str">
        <f>"55860007"</f>
        <v>55860007</v>
      </c>
      <c r="D2040" s="10"/>
      <c r="E2040" s="14" t="s">
        <v>15</v>
      </c>
    </row>
    <row r="2041" spans="1:5" ht="15.75" x14ac:dyDescent="0.25">
      <c r="A2041" s="4">
        <v>4</v>
      </c>
      <c r="B2041" t="str">
        <f>"SUPORTE P/ BARRA DE COBRE  TRIPOL"</f>
        <v>SUPORTE P/ BARRA DE COBRE  TRIPOL</v>
      </c>
      <c r="C2041" t="str">
        <f>"55860008"</f>
        <v>55860008</v>
      </c>
      <c r="D2041" s="9"/>
      <c r="E2041" s="14" t="s">
        <v>15</v>
      </c>
    </row>
    <row r="2042" spans="1:5" ht="15.75" x14ac:dyDescent="0.25">
      <c r="A2042" s="5">
        <v>4</v>
      </c>
      <c r="B2042" s="6" t="str">
        <f>"SUPORTE ESCADA P/ BARRA DE COBRE 20x5 ATÉ 30x10mm EM DEGRAUS"</f>
        <v>SUPORTE ESCADA P/ BARRA DE COBRE 20x5 ATÉ 30x10mm EM DEGRAUS</v>
      </c>
      <c r="C2042" s="6" t="str">
        <f>"55860020"</f>
        <v>55860020</v>
      </c>
      <c r="D2042" s="10"/>
      <c r="E2042" s="14" t="s">
        <v>15</v>
      </c>
    </row>
    <row r="2043" spans="1:5" ht="15.75" x14ac:dyDescent="0.25">
      <c r="A2043" s="4">
        <v>1</v>
      </c>
      <c r="B2043" t="str">
        <f>"SUPORTE P/INSERTO PLASTICO P/ TRILHO"</f>
        <v>SUPORTE P/INSERTO PLASTICO P/ TRILHO</v>
      </c>
      <c r="C2043" t="str">
        <f>"55860050"</f>
        <v>55860050</v>
      </c>
      <c r="D2043" s="9"/>
      <c r="E2043" s="14" t="s">
        <v>15</v>
      </c>
    </row>
    <row r="2044" spans="1:5" ht="15.75" x14ac:dyDescent="0.25">
      <c r="A2044" s="5">
        <v>8</v>
      </c>
      <c r="B2044" s="6" t="str">
        <f>"SUPORTE P/ CABOS DRIVE BOSCH 12/48 N/m"</f>
        <v>SUPORTE P/ CABOS DRIVE BOSCH 12/48 N/m</v>
      </c>
      <c r="C2044" s="6" t="str">
        <f>"55860155"</f>
        <v>55860155</v>
      </c>
      <c r="D2044" s="10"/>
      <c r="E2044" s="14" t="s">
        <v>15</v>
      </c>
    </row>
    <row r="2045" spans="1:5" ht="15.75" x14ac:dyDescent="0.25">
      <c r="A2045" s="4">
        <v>1</v>
      </c>
      <c r="B2045" t="str">
        <f>"SUPORTE P/ CABOS DRIVE BOSCH 2000 N/m"</f>
        <v>SUPORTE P/ CABOS DRIVE BOSCH 2000 N/m</v>
      </c>
      <c r="C2045" t="str">
        <f>"55860160"</f>
        <v>55860160</v>
      </c>
      <c r="D2045" s="9"/>
      <c r="E2045" s="14" t="s">
        <v>15</v>
      </c>
    </row>
    <row r="2046" spans="1:5" ht="15.75" x14ac:dyDescent="0.25">
      <c r="A2046" s="5">
        <v>2</v>
      </c>
      <c r="B2046" s="6" t="str">
        <f>"TAMPA FINAL DE BARRAMENTO DE COBRE"</f>
        <v>TAMPA FINAL DE BARRAMENTO DE COBRE</v>
      </c>
      <c r="C2046" s="6" t="str">
        <f>"55950001"</f>
        <v>55950001</v>
      </c>
      <c r="D2046" s="10"/>
      <c r="E2046" s="14" t="s">
        <v>15</v>
      </c>
    </row>
    <row r="2047" spans="1:5" ht="15.75" x14ac:dyDescent="0.25">
      <c r="A2047" s="4">
        <v>12</v>
      </c>
      <c r="B2047" t="str">
        <f>"Tampa p/ Suporte Aberto para conduite  pg 11"</f>
        <v>Tampa p/ Suporte Aberto para conduite  pg 11</v>
      </c>
      <c r="C2047" t="str">
        <f>"55950002"</f>
        <v>55950002</v>
      </c>
      <c r="D2047" s="9"/>
      <c r="E2047" s="14" t="s">
        <v>15</v>
      </c>
    </row>
    <row r="2048" spans="1:5" ht="15.75" x14ac:dyDescent="0.25">
      <c r="A2048" s="5">
        <v>6</v>
      </c>
      <c r="B2048" s="6" t="str">
        <f>"Tampa p/ Suporte Aberto para conduite  Pg 16"</f>
        <v>Tampa p/ Suporte Aberto para conduite  Pg 16</v>
      </c>
      <c r="C2048" s="6" t="str">
        <f>"55950003"</f>
        <v>55950003</v>
      </c>
      <c r="D2048" s="10"/>
      <c r="E2048" s="14" t="s">
        <v>15</v>
      </c>
    </row>
    <row r="2049" spans="1:5" ht="15.75" x14ac:dyDescent="0.25">
      <c r="A2049" s="4">
        <v>6</v>
      </c>
      <c r="B2049" t="str">
        <f>"Tampa p/ Suporte Aberto para conduite  Pg 29"</f>
        <v>Tampa p/ Suporte Aberto para conduite  Pg 29</v>
      </c>
      <c r="C2049" t="str">
        <f>"55950005"</f>
        <v>55950005</v>
      </c>
      <c r="D2049" s="9"/>
      <c r="E2049" s="14" t="s">
        <v>15</v>
      </c>
    </row>
    <row r="2050" spans="1:5" ht="15.75" x14ac:dyDescent="0.25">
      <c r="A2050" s="5">
        <v>2</v>
      </c>
      <c r="B2050" s="6" t="str">
        <f>"Tampão 7/8 Rosca Macho Plastic"</f>
        <v>Tampão 7/8 Rosca Macho Plastic</v>
      </c>
      <c r="C2050" s="6" t="str">
        <f>"55950010"</f>
        <v>55950010</v>
      </c>
      <c r="D2050" s="10"/>
      <c r="E2050" s="14" t="s">
        <v>15</v>
      </c>
    </row>
    <row r="2051" spans="1:5" ht="15.75" x14ac:dyDescent="0.25">
      <c r="A2051" s="4">
        <v>2</v>
      </c>
      <c r="B2051" t="str">
        <f>"TAMPA PARA FURO DE ø 22 mm"</f>
        <v>TAMPA PARA FURO DE ø 22 mm</v>
      </c>
      <c r="C2051" t="str">
        <f>"55950018"</f>
        <v>55950018</v>
      </c>
      <c r="D2051" s="9"/>
      <c r="E2051" s="14" t="s">
        <v>15</v>
      </c>
    </row>
    <row r="2052" spans="1:5" ht="15.75" x14ac:dyDescent="0.25">
      <c r="A2052" s="5">
        <v>5</v>
      </c>
      <c r="B2052" s="6" t="str">
        <f>"TAMPA PARA FURO DE 40 MM C/ PASSAGEM DE CABO"</f>
        <v>TAMPA PARA FURO DE 40 MM C/ PASSAGEM DE CABO</v>
      </c>
      <c r="C2052" s="6" t="str">
        <f>"55950022"</f>
        <v>55950022</v>
      </c>
      <c r="D2052" s="10"/>
      <c r="E2052" s="14" t="s">
        <v>15</v>
      </c>
    </row>
    <row r="2053" spans="1:5" ht="15.75" x14ac:dyDescent="0.25">
      <c r="A2053" s="4">
        <v>10</v>
      </c>
      <c r="B2053" t="str">
        <f>"TAMPA PARA FURO DE Pg 11"</f>
        <v>TAMPA PARA FURO DE Pg 11</v>
      </c>
      <c r="C2053" t="str">
        <f>"55950025"</f>
        <v>55950025</v>
      </c>
      <c r="D2053" s="9"/>
      <c r="E2053" s="14" t="s">
        <v>15</v>
      </c>
    </row>
    <row r="2054" spans="1:5" ht="15.75" x14ac:dyDescent="0.25">
      <c r="A2054" s="5">
        <v>6</v>
      </c>
      <c r="B2054" s="6" t="str">
        <f>"TAMPA P/BORNE MINI"</f>
        <v>TAMPA P/BORNE MINI</v>
      </c>
      <c r="C2054" s="6" t="str">
        <f>"55950030"</f>
        <v>55950030</v>
      </c>
      <c r="D2054" s="10"/>
      <c r="E2054" s="14" t="s">
        <v>15</v>
      </c>
    </row>
    <row r="2055" spans="1:5" ht="15.75" x14ac:dyDescent="0.25">
      <c r="A2055" s="4">
        <v>2</v>
      </c>
      <c r="B2055" t="str">
        <f>"TAMPA DE BORNE P/ NZM3"</f>
        <v>TAMPA DE BORNE P/ NZM3</v>
      </c>
      <c r="C2055" t="str">
        <f>"55950041"</f>
        <v>55950041</v>
      </c>
      <c r="D2055" s="9"/>
      <c r="E2055" s="14" t="s">
        <v>15</v>
      </c>
    </row>
    <row r="2056" spans="1:5" ht="15.75" x14ac:dyDescent="0.25">
      <c r="A2056" s="5">
        <v>1</v>
      </c>
      <c r="B2056" s="6" t="str">
        <f>"TAMPA   KDT/X 24 Grommet Largo 24...25mm  MURR"</f>
        <v>TAMPA   KDT/X 24 Grommet Largo 24...25mm  MURR</v>
      </c>
      <c r="C2056" s="6" t="str">
        <f>"55950450"</f>
        <v>55950450</v>
      </c>
      <c r="D2056" s="10"/>
      <c r="E2056" s="14" t="s">
        <v>15</v>
      </c>
    </row>
    <row r="2057" spans="1:5" ht="15.75" x14ac:dyDescent="0.25">
      <c r="A2057" s="4">
        <v>1</v>
      </c>
      <c r="B2057" t="str">
        <f>"TAMPA   BTG/XL Grommet Largo Cego   MURR"</f>
        <v>TAMPA   BTG/XL Grommet Largo Cego   MURR</v>
      </c>
      <c r="C2057" t="str">
        <f>"55950460"</f>
        <v>55950460</v>
      </c>
      <c r="D2057" s="9"/>
      <c r="E2057" s="14" t="s">
        <v>15</v>
      </c>
    </row>
    <row r="2058" spans="1:5" ht="15.75" x14ac:dyDescent="0.25">
      <c r="A2058" s="5">
        <v>70</v>
      </c>
      <c r="B2058" s="6" t="str">
        <f>"TAMPA PLASTICA P/ CONTATOS  DIL M40"</f>
        <v>TAMPA PLASTICA P/ CONTATOS  DIL M40</v>
      </c>
      <c r="C2058" s="6" t="str">
        <f>"55950800"</f>
        <v>55950800</v>
      </c>
      <c r="D2058" s="10"/>
      <c r="E2058" s="14" t="s">
        <v>15</v>
      </c>
    </row>
    <row r="2059" spans="1:5" ht="15.75" x14ac:dyDescent="0.25">
      <c r="A2059" s="4">
        <v>3</v>
      </c>
      <c r="B2059" t="str">
        <f>"TAMPA PLASTICA P/ CONTATOR DIL M25 ( CJ 4PÇS )"</f>
        <v>TAMPA PLASTICA P/ CONTATOR DIL M25 ( CJ 4PÇS )</v>
      </c>
      <c r="C2059" t="str">
        <f>"55950802"</f>
        <v>55950802</v>
      </c>
      <c r="D2059" s="9"/>
      <c r="E2059" s="14" t="s">
        <v>15</v>
      </c>
    </row>
    <row r="2060" spans="1:5" ht="15.75" x14ac:dyDescent="0.25">
      <c r="A2060" s="5">
        <v>2</v>
      </c>
      <c r="B2060" s="6" t="str">
        <f>"TAMPA FINAL (PAR) P/ EXTREMIDADES DAS BARRAS DO T-650"</f>
        <v>TAMPA FINAL (PAR) P/ EXTREMIDADES DAS BARRAS DO T-650</v>
      </c>
      <c r="C2060" s="6" t="str">
        <f>"55951200"</f>
        <v>55951200</v>
      </c>
      <c r="D2060" s="10"/>
      <c r="E2060" s="14" t="s">
        <v>15</v>
      </c>
    </row>
    <row r="2061" spans="1:5" ht="15.75" x14ac:dyDescent="0.25">
      <c r="A2061" s="4">
        <v>20</v>
      </c>
      <c r="B2061" t="str">
        <f>"Terminacao Eng. Rápido  Reto - Pg 11"</f>
        <v>Terminacao Eng. Rápido  Reto - Pg 11</v>
      </c>
      <c r="C2061" t="str">
        <f>"55990013"</f>
        <v>55990013</v>
      </c>
      <c r="D2061" s="9"/>
      <c r="E2061" s="14" t="s">
        <v>15</v>
      </c>
    </row>
    <row r="2062" spans="1:5" ht="15.75" x14ac:dyDescent="0.25">
      <c r="A2062" s="5">
        <v>16</v>
      </c>
      <c r="B2062" s="6" t="str">
        <f>"Terminacao Eng.Rápido Reto - Pg 16"</f>
        <v>Terminacao Eng.Rápido Reto - Pg 16</v>
      </c>
      <c r="C2062" s="6" t="str">
        <f>"55990014"</f>
        <v>55990014</v>
      </c>
      <c r="D2062" s="10"/>
      <c r="E2062" s="14" t="s">
        <v>15</v>
      </c>
    </row>
    <row r="2063" spans="1:5" ht="15.75" x14ac:dyDescent="0.25">
      <c r="A2063" s="4">
        <v>4</v>
      </c>
      <c r="B2063" t="str">
        <f>"Terminacao Reta para conduite - Pg 11 p/ M 16"</f>
        <v>Terminacao Reta para conduite - Pg 11 p/ M 16</v>
      </c>
      <c r="C2063" t="str">
        <f>"55990017"</f>
        <v>55990017</v>
      </c>
      <c r="D2063" s="9"/>
      <c r="E2063" s="14" t="s">
        <v>15</v>
      </c>
    </row>
    <row r="2064" spans="1:5" ht="15.75" x14ac:dyDescent="0.25">
      <c r="A2064" s="5">
        <v>14</v>
      </c>
      <c r="B2064" s="6" t="str">
        <f>"Terminacao Reta para conduite  Pg 16 p/ NPT 1/2"""</f>
        <v>Terminacao Reta para conduite  Pg 16 p/ NPT 1/2"</v>
      </c>
      <c r="C2064" s="6" t="str">
        <f>"55990018"</f>
        <v>55990018</v>
      </c>
      <c r="D2064" s="10"/>
      <c r="E2064" s="14" t="s">
        <v>15</v>
      </c>
    </row>
    <row r="2065" spans="1:5" ht="15.75" x14ac:dyDescent="0.25">
      <c r="A2065" s="4">
        <v>4</v>
      </c>
      <c r="B2065" t="str">
        <f>"Terminacao para conduite em Curva 90""cinza - Pg 11"</f>
        <v>Terminacao para conduite em Curva 90"cinza - Pg 11</v>
      </c>
      <c r="C2065" t="str">
        <f>"55990021"</f>
        <v>55990021</v>
      </c>
      <c r="D2065" s="9"/>
      <c r="E2065" s="14" t="s">
        <v>15</v>
      </c>
    </row>
    <row r="2066" spans="1:5" ht="15.75" x14ac:dyDescent="0.25">
      <c r="A2066" s="5">
        <v>2</v>
      </c>
      <c r="B2066" s="6" t="str">
        <f>"Terminacao p/ conduite  90""cinza - Pg 11c/ rosca 3/8"""</f>
        <v>Terminacao p/ conduite  90"cinza - Pg 11c/ rosca 3/8"</v>
      </c>
      <c r="C2066" s="6" t="str">
        <f>"55990022"</f>
        <v>55990022</v>
      </c>
      <c r="D2066" s="10"/>
      <c r="E2066" s="14" t="s">
        <v>15</v>
      </c>
    </row>
    <row r="2067" spans="1:5" ht="15.75" x14ac:dyDescent="0.25">
      <c r="A2067" s="4">
        <v>2</v>
      </c>
      <c r="B2067" t="str">
        <f>"Terminacao Eng. Rapido 90""cinza - Pg 16 - M20"</f>
        <v>Terminacao Eng. Rapido 90"cinza - Pg 16 - M20</v>
      </c>
      <c r="C2067" t="str">
        <f>"55990026"</f>
        <v>55990026</v>
      </c>
      <c r="D2067" s="9"/>
      <c r="E2067" s="14" t="s">
        <v>15</v>
      </c>
    </row>
    <row r="2068" spans="1:5" ht="15.75" x14ac:dyDescent="0.25">
      <c r="A2068" s="5">
        <v>1</v>
      </c>
      <c r="B2068" s="6" t="str">
        <f>"Terminacao para conduite em Curva 90"" - Pg 16"</f>
        <v>Terminacao para conduite em Curva 90" - Pg 16</v>
      </c>
      <c r="C2068" s="6" t="str">
        <f>"55990031"</f>
        <v>55990031</v>
      </c>
      <c r="D2068" s="10"/>
      <c r="E2068" s="14" t="s">
        <v>15</v>
      </c>
    </row>
    <row r="2069" spans="1:5" ht="15.75" x14ac:dyDescent="0.25">
      <c r="A2069" s="4">
        <v>32</v>
      </c>
      <c r="B2069" t="str">
        <f>"Terminaçao Eng. Rápido Reto - Pg 21"</f>
        <v>Terminaçao Eng. Rápido Reto - Pg 21</v>
      </c>
      <c r="C2069" t="str">
        <f>"55990042"</f>
        <v>55990042</v>
      </c>
      <c r="D2069" s="9"/>
      <c r="E2069" s="14" t="s">
        <v>15</v>
      </c>
    </row>
    <row r="2070" spans="1:5" ht="15.75" x14ac:dyDescent="0.25">
      <c r="A2070" s="5">
        <v>8</v>
      </c>
      <c r="B2070" s="6" t="str">
        <f>"Terminacao Eng.Rápido  Curva 90° - Pg 21"</f>
        <v>Terminacao Eng.Rápido  Curva 90° - Pg 21</v>
      </c>
      <c r="C2070" s="6" t="str">
        <f>"55990043"</f>
        <v>55990043</v>
      </c>
      <c r="D2070" s="10"/>
      <c r="E2070" s="14" t="s">
        <v>15</v>
      </c>
    </row>
    <row r="2071" spans="1:5" ht="15.75" x14ac:dyDescent="0.25">
      <c r="A2071" s="4">
        <v>1</v>
      </c>
      <c r="B2071" t="str">
        <f>"Terminacao para conduite em Curva 90""cinza- Pg 29"</f>
        <v>Terminacao para conduite em Curva 90"cinza- Pg 29</v>
      </c>
      <c r="C2071" t="str">
        <f>"55990051"</f>
        <v>55990051</v>
      </c>
      <c r="D2071" s="9"/>
      <c r="E2071" s="14" t="s">
        <v>15</v>
      </c>
    </row>
    <row r="2072" spans="1:5" ht="15.75" x14ac:dyDescent="0.25">
      <c r="A2072" s="5">
        <v>1</v>
      </c>
      <c r="B2072" s="6" t="str">
        <f>"Terminacao Eng.Rápido  Reto - Pg 29"</f>
        <v>Terminacao Eng.Rápido  Reto - Pg 29</v>
      </c>
      <c r="C2072" s="6" t="str">
        <f>"55990054"</f>
        <v>55990054</v>
      </c>
      <c r="D2072" s="10"/>
      <c r="E2072" s="14" t="s">
        <v>15</v>
      </c>
    </row>
    <row r="2073" spans="1:5" ht="15.75" x14ac:dyDescent="0.25">
      <c r="A2073" s="4">
        <v>17</v>
      </c>
      <c r="B2073" t="str">
        <f>"Terminaçao reta para conduite- Pg 36"</f>
        <v>Terminaçao reta para conduite- Pg 36</v>
      </c>
      <c r="C2073" t="str">
        <f>"55990060"</f>
        <v>55990060</v>
      </c>
      <c r="D2073" s="9"/>
      <c r="E2073" s="14" t="s">
        <v>15</v>
      </c>
    </row>
    <row r="2074" spans="1:5" ht="15.75" x14ac:dyDescent="0.25">
      <c r="A2074" s="5">
        <v>8</v>
      </c>
      <c r="B2074" s="6" t="str">
        <f>"Terminação 90°. p/ Conduite Bipartido s/ rosca preto - Pg 36"</f>
        <v>Terminação 90°. p/ Conduite Bipartido s/ rosca preto - Pg 36</v>
      </c>
      <c r="C2074" s="6" t="str">
        <f>"55990062"</f>
        <v>55990062</v>
      </c>
      <c r="D2074" s="10"/>
      <c r="E2074" s="14" t="s">
        <v>15</v>
      </c>
    </row>
    <row r="2075" spans="1:5" ht="15.75" x14ac:dyDescent="0.25">
      <c r="A2075" s="4">
        <v>1</v>
      </c>
      <c r="B2075" t="str">
        <f>"KIT TECLADO PARA MICRO PT C/ MOUSE S/ FIO"</f>
        <v>KIT TECLADO PARA MICRO PT C/ MOUSE S/ FIO</v>
      </c>
      <c r="C2075" t="str">
        <f>"56000110"</f>
        <v>56000110</v>
      </c>
      <c r="D2075" s="9"/>
      <c r="E2075" s="14" t="s">
        <v>15</v>
      </c>
    </row>
    <row r="2076" spans="1:5" ht="15.75" x14ac:dyDescent="0.25">
      <c r="A2076" s="5">
        <v>100</v>
      </c>
      <c r="B2076" s="6" t="str">
        <f>"TERMINAL FORQUILHA 2,5mm (AZ 1,3-2,7MM)  M5"</f>
        <v>TERMINAL FORQUILHA 2,5mm (AZ 1,3-2,7MM)  M5</v>
      </c>
      <c r="C2076" s="6" t="str">
        <f>"56010010"</f>
        <v>56010010</v>
      </c>
      <c r="D2076" s="10"/>
      <c r="E2076" s="14" t="s">
        <v>15</v>
      </c>
    </row>
    <row r="2077" spans="1:5" ht="15.75" x14ac:dyDescent="0.25">
      <c r="A2077" s="4">
        <v>100</v>
      </c>
      <c r="B2077" t="str">
        <f>"TERMINAL FORQUILHA 6,0mm (AM 2,7-6,0MM)  M6"</f>
        <v>TERMINAL FORQUILHA 6,0mm (AM 2,7-6,0MM)  M6</v>
      </c>
      <c r="C2077" t="str">
        <f>"56010011"</f>
        <v>56010011</v>
      </c>
      <c r="D2077" s="9"/>
      <c r="E2077" s="14" t="s">
        <v>15</v>
      </c>
    </row>
    <row r="2078" spans="1:5" ht="15.75" x14ac:dyDescent="0.25">
      <c r="A2078" s="5">
        <v>200</v>
      </c>
      <c r="B2078" s="6" t="str">
        <f>"TERMINAL FORQUILHA DE 0,25 - 1,6   mm    M3"</f>
        <v>TERMINAL FORQUILHA DE 0,25 - 1,6   mm    M3</v>
      </c>
      <c r="C2078" s="6" t="str">
        <f>"56010013"</f>
        <v>56010013</v>
      </c>
      <c r="D2078" s="10"/>
      <c r="E2078" s="14" t="s">
        <v>15</v>
      </c>
    </row>
    <row r="2079" spans="1:5" ht="15.75" x14ac:dyDescent="0.25">
      <c r="A2079" s="4">
        <v>100</v>
      </c>
      <c r="B2079" t="str">
        <f>"TERMINAL FORQUILHA 1,5mm (VM 0,25-1,6MM)  M4"</f>
        <v>TERMINAL FORQUILHA 1,5mm (VM 0,25-1,6MM)  M4</v>
      </c>
      <c r="C2079" t="str">
        <f>"56010014"</f>
        <v>56010014</v>
      </c>
      <c r="D2079" s="9"/>
      <c r="E2079" s="14" t="s">
        <v>15</v>
      </c>
    </row>
    <row r="2080" spans="1:5" ht="15.75" x14ac:dyDescent="0.25">
      <c r="A2080" s="5">
        <v>1000</v>
      </c>
      <c r="B2080" s="6" t="str">
        <f>"TERMINAL ILHOS DE 0.75 MM²"</f>
        <v>TERMINAL ILHOS DE 0.75 MM²</v>
      </c>
      <c r="C2080" s="6" t="str">
        <f>"56010015"</f>
        <v>56010015</v>
      </c>
      <c r="D2080" s="10"/>
      <c r="E2080" s="14" t="s">
        <v>15</v>
      </c>
    </row>
    <row r="2081" spans="1:5" ht="15.75" x14ac:dyDescent="0.25">
      <c r="A2081" s="4">
        <v>500</v>
      </c>
      <c r="B2081" t="str">
        <f>"TERMINAL ILHOS DE 0.34 MM²"</f>
        <v>TERMINAL ILHOS DE 0.34 MM²</v>
      </c>
      <c r="C2081" t="str">
        <f>"56010016"</f>
        <v>56010016</v>
      </c>
      <c r="D2081" s="9"/>
      <c r="E2081" s="14" t="s">
        <v>15</v>
      </c>
    </row>
    <row r="2082" spans="1:5" ht="15.75" x14ac:dyDescent="0.25">
      <c r="A2082" s="5">
        <v>400</v>
      </c>
      <c r="B2082" s="6" t="str">
        <f>"TERMINAL ILHOS DE 0.5 MM²"</f>
        <v>TERMINAL ILHOS DE 0.5 MM²</v>
      </c>
      <c r="C2082" s="6" t="str">
        <f>"56010017"</f>
        <v>56010017</v>
      </c>
      <c r="D2082" s="10"/>
      <c r="E2082" s="14" t="s">
        <v>15</v>
      </c>
    </row>
    <row r="2083" spans="1:5" ht="15.75" x14ac:dyDescent="0.25">
      <c r="A2083" s="4">
        <v>3000</v>
      </c>
      <c r="B2083" t="str">
        <f>"TERMINAL ILHOS DE 1,0 MM²"</f>
        <v>TERMINAL ILHOS DE 1,0 MM²</v>
      </c>
      <c r="C2083" t="str">
        <f>"56010018"</f>
        <v>56010018</v>
      </c>
      <c r="D2083" s="9"/>
      <c r="E2083" s="14" t="s">
        <v>15</v>
      </c>
    </row>
    <row r="2084" spans="1:5" ht="15.75" x14ac:dyDescent="0.25">
      <c r="A2084" s="5">
        <v>1000</v>
      </c>
      <c r="B2084" s="6" t="str">
        <f>"TERMINAL ILHOS DE 1,5 MM²"</f>
        <v>TERMINAL ILHOS DE 1,5 MM²</v>
      </c>
      <c r="C2084" s="6" t="str">
        <f>"56010019"</f>
        <v>56010019</v>
      </c>
      <c r="D2084" s="10"/>
      <c r="E2084" s="14" t="s">
        <v>15</v>
      </c>
    </row>
    <row r="2085" spans="1:5" ht="15.75" x14ac:dyDescent="0.25">
      <c r="A2085" s="4">
        <v>300</v>
      </c>
      <c r="B2085" t="str">
        <f>"TERMINAL ILHOS DE 2,5 MM²"</f>
        <v>TERMINAL ILHOS DE 2,5 MM²</v>
      </c>
      <c r="C2085" t="str">
        <f>"56010020"</f>
        <v>56010020</v>
      </c>
      <c r="D2085" s="9"/>
      <c r="E2085" s="14" t="s">
        <v>15</v>
      </c>
    </row>
    <row r="2086" spans="1:5" ht="15.75" x14ac:dyDescent="0.25">
      <c r="A2086" s="5">
        <v>200</v>
      </c>
      <c r="B2086" s="6" t="str">
        <f>"TERMINAL ILHOS DE 4,0 MM²"</f>
        <v>TERMINAL ILHOS DE 4,0 MM²</v>
      </c>
      <c r="C2086" s="6" t="str">
        <f>"56010021"</f>
        <v>56010021</v>
      </c>
      <c r="D2086" s="10"/>
      <c r="E2086" s="14" t="s">
        <v>15</v>
      </c>
    </row>
    <row r="2087" spans="1:5" ht="15.75" x14ac:dyDescent="0.25">
      <c r="A2087" s="4">
        <v>100</v>
      </c>
      <c r="B2087" t="str">
        <f>"TERMINAL ILHOS DE 6,0 MM²"</f>
        <v>TERMINAL ILHOS DE 6,0 MM²</v>
      </c>
      <c r="C2087" t="str">
        <f>"56010022"</f>
        <v>56010022</v>
      </c>
      <c r="D2087" s="9"/>
      <c r="E2087" s="14" t="s">
        <v>15</v>
      </c>
    </row>
    <row r="2088" spans="1:5" ht="15.75" x14ac:dyDescent="0.25">
      <c r="A2088" s="5">
        <v>200</v>
      </c>
      <c r="B2088" s="6" t="str">
        <f>"TERMINAL ILHOS DE 10,0 MM²"</f>
        <v>TERMINAL ILHOS DE 10,0 MM²</v>
      </c>
      <c r="C2088" s="6" t="str">
        <f>"56010023"</f>
        <v>56010023</v>
      </c>
      <c r="D2088" s="10"/>
      <c r="E2088" s="14" t="s">
        <v>15</v>
      </c>
    </row>
    <row r="2089" spans="1:5" ht="15.75" x14ac:dyDescent="0.25">
      <c r="A2089" s="4">
        <v>100</v>
      </c>
      <c r="B2089" t="str">
        <f>"TERMINAL ILHOS DE 16,0 MM²"</f>
        <v>TERMINAL ILHOS DE 16,0 MM²</v>
      </c>
      <c r="C2089" t="str">
        <f>"56010024"</f>
        <v>56010024</v>
      </c>
      <c r="D2089" s="9"/>
      <c r="E2089" s="14" t="s">
        <v>15</v>
      </c>
    </row>
    <row r="2090" spans="1:5" ht="15.75" x14ac:dyDescent="0.25">
      <c r="A2090" s="5">
        <v>50</v>
      </c>
      <c r="B2090" s="6" t="str">
        <f>"TERMINAL ILHOS DUPLO DE 16,0 MM"</f>
        <v>TERMINAL ILHOS DUPLO DE 16,0 MM</v>
      </c>
      <c r="C2090" s="6" t="str">
        <f>"56010025"</f>
        <v>56010025</v>
      </c>
      <c r="D2090" s="10"/>
      <c r="E2090" s="14" t="s">
        <v>15</v>
      </c>
    </row>
    <row r="2091" spans="1:5" ht="15.75" x14ac:dyDescent="0.25">
      <c r="A2091" s="4">
        <v>200</v>
      </c>
      <c r="B2091" t="str">
        <f>"TERMINAL ILHOS DUPLO DE  2,5 MM"</f>
        <v>TERMINAL ILHOS DUPLO DE  2,5 MM</v>
      </c>
      <c r="C2091" t="str">
        <f>"56010026"</f>
        <v>56010026</v>
      </c>
      <c r="D2091" s="9"/>
      <c r="E2091" s="14" t="s">
        <v>15</v>
      </c>
    </row>
    <row r="2092" spans="1:5" ht="15.75" x14ac:dyDescent="0.25">
      <c r="A2092" s="5">
        <v>500</v>
      </c>
      <c r="B2092" s="6" t="str">
        <f>"TERMINAL ILHOS DUPLO DE  1,0 MM"</f>
        <v>TERMINAL ILHOS DUPLO DE  1,0 MM</v>
      </c>
      <c r="C2092" s="6" t="str">
        <f>"56010027"</f>
        <v>56010027</v>
      </c>
      <c r="D2092" s="10"/>
      <c r="E2092" s="14" t="s">
        <v>15</v>
      </c>
    </row>
    <row r="2093" spans="1:5" ht="15.75" x14ac:dyDescent="0.25">
      <c r="A2093" s="4">
        <v>500</v>
      </c>
      <c r="B2093" t="str">
        <f>"TERMINAL ILHOS DUPLO DE 1,5 MM"</f>
        <v>TERMINAL ILHOS DUPLO DE 1,5 MM</v>
      </c>
      <c r="C2093" t="str">
        <f>"56010029"</f>
        <v>56010029</v>
      </c>
      <c r="D2093" s="9"/>
      <c r="E2093" s="14" t="s">
        <v>15</v>
      </c>
    </row>
    <row r="2094" spans="1:5" ht="15.75" x14ac:dyDescent="0.25">
      <c r="A2094" s="5">
        <v>100</v>
      </c>
      <c r="B2094" s="6" t="str">
        <f>"TERMINAL ILHOS DUPLO DE 6,0 MM"</f>
        <v>TERMINAL ILHOS DUPLO DE 6,0 MM</v>
      </c>
      <c r="C2094" s="6" t="str">
        <f>"56010031"</f>
        <v>56010031</v>
      </c>
      <c r="D2094" s="10"/>
      <c r="E2094" s="14" t="s">
        <v>15</v>
      </c>
    </row>
    <row r="2095" spans="1:5" ht="15.75" x14ac:dyDescent="0.25">
      <c r="A2095" s="4">
        <v>50</v>
      </c>
      <c r="B2095" t="str">
        <f>"TERMINAL ENCAIXE ENCAPADO VM 2,8mm"</f>
        <v>TERMINAL ENCAIXE ENCAPADO VM 2,8mm</v>
      </c>
      <c r="C2095" t="str">
        <f>"56010040"</f>
        <v>56010040</v>
      </c>
      <c r="D2095" s="9"/>
      <c r="E2095" s="14" t="s">
        <v>15</v>
      </c>
    </row>
    <row r="2096" spans="1:5" ht="15.75" x14ac:dyDescent="0.25">
      <c r="A2096" s="5">
        <v>100</v>
      </c>
      <c r="B2096" s="6" t="str">
        <f>"TERMINAL ENCAIXE 90°  ENCAPADO AZ"</f>
        <v>TERMINAL ENCAIXE 90°  ENCAPADO AZ</v>
      </c>
      <c r="C2096" s="6" t="str">
        <f>"56010044"</f>
        <v>56010044</v>
      </c>
      <c r="D2096" s="10"/>
      <c r="E2096" s="14" t="s">
        <v>15</v>
      </c>
    </row>
    <row r="2097" spans="1:5" ht="15.75" x14ac:dyDescent="0.25">
      <c r="A2097" s="4">
        <v>12</v>
      </c>
      <c r="B2097" t="str">
        <f>"TERMINAL COMPRESSAO  50 mm C/ 1 FURO"</f>
        <v>TERMINAL COMPRESSAO  50 mm C/ 1 FURO</v>
      </c>
      <c r="C2097" t="str">
        <f>"56010105"</f>
        <v>56010105</v>
      </c>
      <c r="D2097" s="9"/>
      <c r="E2097" s="14" t="s">
        <v>15</v>
      </c>
    </row>
    <row r="2098" spans="1:5" ht="15.75" x14ac:dyDescent="0.25">
      <c r="A2098" s="5">
        <v>30</v>
      </c>
      <c r="B2098" s="6" t="str">
        <f>"TERMINAL COMPRESSAO  10 mm C/ 1 FURO"</f>
        <v>TERMINAL COMPRESSAO  10 mm C/ 1 FURO</v>
      </c>
      <c r="C2098" s="6" t="str">
        <f>"56010110"</f>
        <v>56010110</v>
      </c>
      <c r="D2098" s="10"/>
      <c r="E2098" s="14" t="s">
        <v>15</v>
      </c>
    </row>
    <row r="2099" spans="1:5" ht="15.75" x14ac:dyDescent="0.25">
      <c r="A2099" s="4">
        <v>100</v>
      </c>
      <c r="B2099" t="str">
        <f>"TERMINAL FÊMEA VERM. (0,25-1,00MM)  SLIP-ON -7 MM LARG"</f>
        <v>TERMINAL FÊMEA VERM. (0,25-1,00MM)  SLIP-ON -7 MM LARG</v>
      </c>
      <c r="C2099" t="str">
        <f>"56010205"</f>
        <v>56010205</v>
      </c>
      <c r="D2099" s="9"/>
      <c r="E2099" s="14" t="s">
        <v>15</v>
      </c>
    </row>
    <row r="2100" spans="1:5" ht="15.75" x14ac:dyDescent="0.25">
      <c r="A2100" s="5">
        <v>100</v>
      </c>
      <c r="B2100" s="6" t="str">
        <f>"TERMINAL FÊMEA AZ. (1,3-2,6MM)    SLIP-ON - 7MM LARG"</f>
        <v>TERMINAL FÊMEA AZ. (1,3-2,6MM)    SLIP-ON - 7MM LARG</v>
      </c>
      <c r="C2100" s="6" t="str">
        <f>"56010230"</f>
        <v>56010230</v>
      </c>
      <c r="D2100" s="10"/>
      <c r="E2100" s="14" t="s">
        <v>15</v>
      </c>
    </row>
    <row r="2101" spans="1:5" ht="15.75" x14ac:dyDescent="0.25">
      <c r="A2101" s="4">
        <v>200</v>
      </c>
      <c r="B2101" t="str">
        <f>"TERMINAL OLHAL  DE 0,25 - 1,6  mm2  c/ isolação furo p/ M3,5"</f>
        <v>TERMINAL OLHAL  DE 0,25 - 1,6  mm2  c/ isolação furo p/ M3,5</v>
      </c>
      <c r="C2101" t="str">
        <f>"56010426"</f>
        <v>56010426</v>
      </c>
      <c r="D2101" s="9"/>
      <c r="E2101" s="14" t="s">
        <v>15</v>
      </c>
    </row>
    <row r="2102" spans="1:5" ht="15.75" x14ac:dyDescent="0.25">
      <c r="A2102" s="5">
        <v>200</v>
      </c>
      <c r="B2102" s="6" t="str">
        <f>"TERMINAL OLHAL  DE 0,25 - 1,6  mm2  c/ isolação furo p/ M4"</f>
        <v>TERMINAL OLHAL  DE 0,25 - 1,6  mm2  c/ isolação furo p/ M4</v>
      </c>
      <c r="C2102" s="6" t="str">
        <f>"56010428"</f>
        <v>56010428</v>
      </c>
      <c r="D2102" s="10"/>
      <c r="E2102" s="14" t="s">
        <v>15</v>
      </c>
    </row>
    <row r="2103" spans="1:5" ht="15.75" x14ac:dyDescent="0.25">
      <c r="A2103" s="4">
        <v>100</v>
      </c>
      <c r="B2103" t="str">
        <f>"TERMINAL OLHAL  DE 0,25 - 1,6  mm2 c/ isolação furo p/- M6"</f>
        <v>TERMINAL OLHAL  DE 0,25 - 1,6  mm2 c/ isolação furo p/- M6</v>
      </c>
      <c r="C2103" t="str">
        <f>"56010432"</f>
        <v>56010432</v>
      </c>
      <c r="D2103" s="9"/>
      <c r="E2103" s="14" t="s">
        <v>15</v>
      </c>
    </row>
    <row r="2104" spans="1:5" ht="15.75" x14ac:dyDescent="0.25">
      <c r="A2104" s="5">
        <v>100</v>
      </c>
      <c r="B2104" s="6" t="str">
        <f>"TERMINAL OLHAL DE 1,3 - 2,5 MM  c/ isolação furo p/ M 5"</f>
        <v>TERMINAL OLHAL DE 1,3 - 2,5 MM  c/ isolação furo p/ M 5</v>
      </c>
      <c r="C2104" s="6" t="str">
        <f>"56010440"</f>
        <v>56010440</v>
      </c>
      <c r="D2104" s="10"/>
      <c r="E2104" s="14" t="s">
        <v>15</v>
      </c>
    </row>
    <row r="2105" spans="1:5" ht="15.75" x14ac:dyDescent="0.25">
      <c r="A2105" s="4">
        <v>4</v>
      </c>
      <c r="B2105" t="str">
        <f>"TERMINAL OLHAL DE 1,3 - 2,5 MM  c/ isolação furo p/ M 10"</f>
        <v>TERMINAL OLHAL DE 1,3 - 2,5 MM  c/ isolação furo p/ M 10</v>
      </c>
      <c r="C2105" t="str">
        <f>"56010448"</f>
        <v>56010448</v>
      </c>
      <c r="D2105" s="9"/>
      <c r="E2105" s="14" t="s">
        <v>15</v>
      </c>
    </row>
    <row r="2106" spans="1:5" ht="15.75" x14ac:dyDescent="0.25">
      <c r="A2106" s="5">
        <v>100</v>
      </c>
      <c r="B2106" s="6" t="str">
        <f>"TERMINAL OLHAL  6,0 mm (ANEL AM 2,7-6,0MM)  M4"</f>
        <v>TERMINAL OLHAL  6,0 mm (ANEL AM 2,7-6,0MM)  M4</v>
      </c>
      <c r="C2106" s="6" t="str">
        <f>"56010449"</f>
        <v>56010449</v>
      </c>
      <c r="D2106" s="10"/>
      <c r="E2106" s="14" t="s">
        <v>15</v>
      </c>
    </row>
    <row r="2107" spans="1:5" ht="15.75" x14ac:dyDescent="0.25">
      <c r="A2107" s="4">
        <v>100</v>
      </c>
      <c r="B2107" t="str">
        <f>"TERMINAL OLHAL  6,0 mm (ANEL AM 2,7-6,0MM)  M5"</f>
        <v>TERMINAL OLHAL  6,0 mm (ANEL AM 2,7-6,0MM)  M5</v>
      </c>
      <c r="C2107" t="str">
        <f>"56010450"</f>
        <v>56010450</v>
      </c>
      <c r="D2107" s="9"/>
      <c r="E2107" s="14" t="s">
        <v>15</v>
      </c>
    </row>
    <row r="2108" spans="1:5" ht="15.75" x14ac:dyDescent="0.25">
      <c r="A2108" s="5">
        <v>100</v>
      </c>
      <c r="B2108" s="6" t="str">
        <f>"TERMINAL OLHAL 6,0 mm (ANEL AM 2,7-6,0MM)  M6"</f>
        <v>TERMINAL OLHAL 6,0 mm (ANEL AM 2,7-6,0MM)  M6</v>
      </c>
      <c r="C2108" s="6" t="str">
        <f>"56010452"</f>
        <v>56010452</v>
      </c>
      <c r="D2108" s="10"/>
      <c r="E2108" s="14" t="s">
        <v>15</v>
      </c>
    </row>
    <row r="2109" spans="1:5" ht="15.75" x14ac:dyDescent="0.25">
      <c r="A2109" s="4">
        <v>100</v>
      </c>
      <c r="B2109" t="str">
        <f>"TERMINAL OLHAL  DE 2,7- 6,6  mm  c/ isolação furo p/ M 8"</f>
        <v>TERMINAL OLHAL  DE 2,7- 6,6  mm  c/ isolação furo p/ M 8</v>
      </c>
      <c r="C2109" t="str">
        <f>"56010454"</f>
        <v>56010454</v>
      </c>
      <c r="D2109" s="9"/>
      <c r="E2109" s="14" t="s">
        <v>15</v>
      </c>
    </row>
    <row r="2110" spans="1:5" ht="15.75" x14ac:dyDescent="0.25">
      <c r="A2110" s="5">
        <v>100</v>
      </c>
      <c r="B2110" s="6" t="str">
        <f>"TERMINAL OLHAL 6,0 mm (ANEL AM 2,7-6,0MM)  M10"</f>
        <v>TERMINAL OLHAL 6,0 mm (ANEL AM 2,7-6,0MM)  M10</v>
      </c>
      <c r="C2110" s="6" t="str">
        <f>"56010456"</f>
        <v>56010456</v>
      </c>
      <c r="D2110" s="10"/>
      <c r="E2110" s="14" t="s">
        <v>15</v>
      </c>
    </row>
    <row r="2111" spans="1:5" ht="15.75" x14ac:dyDescent="0.25">
      <c r="A2111" s="4">
        <v>30</v>
      </c>
      <c r="B2111" t="str">
        <f>"TERMINAL OLHAL  10 mm (ANEL VERM 10MM)  M6"</f>
        <v>TERMINAL OLHAL  10 mm (ANEL VERM 10MM)  M6</v>
      </c>
      <c r="C2111" t="str">
        <f>"56010474"</f>
        <v>56010474</v>
      </c>
      <c r="D2111" s="9"/>
      <c r="E2111" s="14" t="s">
        <v>15</v>
      </c>
    </row>
    <row r="2112" spans="1:5" ht="15.75" x14ac:dyDescent="0.25">
      <c r="A2112" s="5">
        <v>30</v>
      </c>
      <c r="B2112" s="6" t="str">
        <f>"TERMINAL OLHAL  10 mm (ANEL VERM 10MM)  M6"</f>
        <v>TERMINAL OLHAL  10 mm (ANEL VERM 10MM)  M6</v>
      </c>
      <c r="C2112" s="6" t="str">
        <f>"56010475"</f>
        <v>56010475</v>
      </c>
      <c r="D2112" s="10"/>
      <c r="E2112" s="14" t="s">
        <v>15</v>
      </c>
    </row>
    <row r="2113" spans="1:5" ht="15.75" x14ac:dyDescent="0.25">
      <c r="A2113" s="4">
        <v>30</v>
      </c>
      <c r="B2113" t="str">
        <f>"TERMINAL OLHAL  16 mm (ANEL AZUL 16MM)  M6"</f>
        <v>TERMINAL OLHAL  16 mm (ANEL AZUL 16MM)  M6</v>
      </c>
      <c r="C2113" t="str">
        <f>"56010484"</f>
        <v>56010484</v>
      </c>
      <c r="D2113" s="9"/>
      <c r="E2113" s="14" t="s">
        <v>15</v>
      </c>
    </row>
    <row r="2114" spans="1:5" ht="15.75" x14ac:dyDescent="0.25">
      <c r="A2114" s="5">
        <v>100</v>
      </c>
      <c r="B2114" s="6" t="str">
        <f>"TERMINAL OLHAL  16 mm (ANEL AZUL 16MM)  M8"</f>
        <v>TERMINAL OLHAL  16 mm (ANEL AZUL 16MM)  M8</v>
      </c>
      <c r="C2114" s="6" t="str">
        <f>"56010486"</f>
        <v>56010486</v>
      </c>
      <c r="D2114" s="10"/>
      <c r="E2114" s="14" t="s">
        <v>15</v>
      </c>
    </row>
    <row r="2115" spans="1:5" ht="15.75" x14ac:dyDescent="0.25">
      <c r="A2115" s="4">
        <v>10</v>
      </c>
      <c r="B2115" t="str">
        <f>"TERMINAL OLHAL  16 mm (ANEL AZUL 16MM)  M10"</f>
        <v>TERMINAL OLHAL  16 mm (ANEL AZUL 16MM)  M10</v>
      </c>
      <c r="C2115" t="str">
        <f>"56010487"</f>
        <v>56010487</v>
      </c>
      <c r="D2115" s="9"/>
      <c r="E2115" s="14" t="s">
        <v>15</v>
      </c>
    </row>
    <row r="2116" spans="1:5" ht="15.75" x14ac:dyDescent="0.25">
      <c r="A2116" s="5">
        <v>12</v>
      </c>
      <c r="B2116" s="6" t="str">
        <f>"TERMINAL OLHAL  DE 25 mm  c/ isolação furo p/ M8"</f>
        <v>TERMINAL OLHAL  DE 25 mm  c/ isolação furo p/ M8</v>
      </c>
      <c r="C2116" s="6" t="str">
        <f>"56010496"</f>
        <v>56010496</v>
      </c>
      <c r="D2116" s="10"/>
      <c r="E2116" s="14" t="s">
        <v>15</v>
      </c>
    </row>
    <row r="2117" spans="1:5" ht="15.75" x14ac:dyDescent="0.25">
      <c r="A2117" s="4">
        <v>10</v>
      </c>
      <c r="B2117" t="str">
        <f>"TERMO CONTRATIL 3,0 MM"</f>
        <v>TERMO CONTRATIL 3,0 MM</v>
      </c>
      <c r="C2117" t="str">
        <f>"56050106"</f>
        <v>56050106</v>
      </c>
      <c r="D2117" s="9"/>
      <c r="E2117" s="14" t="s">
        <v>15</v>
      </c>
    </row>
    <row r="2118" spans="1:5" ht="15.75" x14ac:dyDescent="0.25">
      <c r="A2118" s="5">
        <v>10</v>
      </c>
      <c r="B2118" s="6" t="str">
        <f>"TERMO CONTRATIL 4,0 MM"</f>
        <v>TERMO CONTRATIL 4,0 MM</v>
      </c>
      <c r="C2118" s="6" t="str">
        <f>"56050108"</f>
        <v>56050108</v>
      </c>
      <c r="D2118" s="10"/>
      <c r="E2118" s="14" t="s">
        <v>15</v>
      </c>
    </row>
    <row r="2119" spans="1:5" ht="15.75" x14ac:dyDescent="0.25">
      <c r="A2119" s="4">
        <v>10</v>
      </c>
      <c r="B2119" t="str">
        <f>"TERMO CONTRATIL 5,0 MM"</f>
        <v>TERMO CONTRATIL 5,0 MM</v>
      </c>
      <c r="C2119" t="str">
        <f>"56050110"</f>
        <v>56050110</v>
      </c>
      <c r="D2119" s="9"/>
      <c r="E2119" s="14" t="s">
        <v>15</v>
      </c>
    </row>
    <row r="2120" spans="1:5" ht="15.75" x14ac:dyDescent="0.25">
      <c r="A2120" s="5">
        <v>10</v>
      </c>
      <c r="B2120" s="6" t="str">
        <f>"TERMO CONTRATIL 10,0 MM"</f>
        <v>TERMO CONTRATIL 10,0 MM</v>
      </c>
      <c r="C2120" s="6" t="str">
        <f>"56050116"</f>
        <v>56050116</v>
      </c>
      <c r="D2120" s="10"/>
      <c r="E2120" s="14" t="s">
        <v>15</v>
      </c>
    </row>
    <row r="2121" spans="1:5" ht="15.75" x14ac:dyDescent="0.25">
      <c r="A2121" s="4">
        <v>10</v>
      </c>
      <c r="B2121" t="str">
        <f>"TERMO CONTRATIL 12,0 MM"</f>
        <v>TERMO CONTRATIL 12,0 MM</v>
      </c>
      <c r="C2121" t="str">
        <f>"56050118"</f>
        <v>56050118</v>
      </c>
      <c r="D2121" s="9"/>
      <c r="E2121" s="14" t="s">
        <v>15</v>
      </c>
    </row>
    <row r="2122" spans="1:5" ht="15.75" x14ac:dyDescent="0.25">
      <c r="A2122" s="5">
        <v>10</v>
      </c>
      <c r="B2122" s="6" t="str">
        <f>"TERMO CONTRATIL 25,0 MM"</f>
        <v>TERMO CONTRATIL 25,0 MM</v>
      </c>
      <c r="C2122" s="6" t="str">
        <f>"56050125"</f>
        <v>56050125</v>
      </c>
      <c r="D2122" s="10"/>
      <c r="E2122" s="14" t="s">
        <v>15</v>
      </c>
    </row>
    <row r="2123" spans="1:5" ht="15.75" x14ac:dyDescent="0.25">
      <c r="A2123" s="4">
        <v>1</v>
      </c>
      <c r="B2123" t="str">
        <f>"TERMOSTATO PARA PAINEL ELETRICO DE 5-55 GRAUS"</f>
        <v>TERMOSTATO PARA PAINEL ELETRICO DE 5-55 GRAUS</v>
      </c>
      <c r="C2123" t="str">
        <f>"56080001"</f>
        <v>56080001</v>
      </c>
      <c r="D2123" s="9"/>
      <c r="E2123" s="14" t="s">
        <v>15</v>
      </c>
    </row>
    <row r="2124" spans="1:5" ht="15.75" x14ac:dyDescent="0.25">
      <c r="A2124" s="5">
        <v>1</v>
      </c>
      <c r="B2124" s="6" t="str">
        <f>"TERMOSTATO BIMETALICO COM FLANGE 160 graus Celsius"</f>
        <v>TERMOSTATO BIMETALICO COM FLANGE 160 graus Celsius</v>
      </c>
      <c r="C2124" s="6" t="str">
        <f>"56080003"</f>
        <v>56080003</v>
      </c>
      <c r="D2124" s="10"/>
      <c r="E2124" s="14" t="s">
        <v>15</v>
      </c>
    </row>
    <row r="2125" spans="1:5" ht="15.75" x14ac:dyDescent="0.25">
      <c r="A2125" s="4">
        <v>1</v>
      </c>
      <c r="B2125" t="str">
        <f>"TERMOSTATO BIMETALICO COM FLANGE 350 graus Celsius"</f>
        <v>TERMOSTATO BIMETALICO COM FLANGE 350 graus Celsius</v>
      </c>
      <c r="C2125" t="str">
        <f>"56080005"</f>
        <v>56080005</v>
      </c>
      <c r="D2125" s="9"/>
      <c r="E2125" s="14" t="s">
        <v>15</v>
      </c>
    </row>
    <row r="2126" spans="1:5" ht="15.75" x14ac:dyDescent="0.25">
      <c r="A2126" s="5">
        <v>1</v>
      </c>
      <c r="B2126" s="6" t="str">
        <f>"TOMADA SOBREPOR 2P + T 32A 200/250V 6H AZ"</f>
        <v>TOMADA SOBREPOR 2P + T 32A 200/250V 6H AZ</v>
      </c>
      <c r="C2126" s="6" t="str">
        <f>"56130030"</f>
        <v>56130030</v>
      </c>
      <c r="D2126" s="10"/>
      <c r="E2126" s="14" t="s">
        <v>15</v>
      </c>
    </row>
    <row r="2127" spans="1:5" ht="15.75" x14ac:dyDescent="0.25">
      <c r="A2127" s="4">
        <v>1</v>
      </c>
      <c r="B2127" t="str">
        <f>"TOMADA USB + RJ 45 + DB9 F/M  ( MOLDURA )"</f>
        <v>TOMADA USB + RJ 45 + DB9 F/M  ( MOLDURA )</v>
      </c>
      <c r="C2127" t="str">
        <f>"56130100"</f>
        <v>56130100</v>
      </c>
      <c r="D2127" s="9"/>
      <c r="E2127" s="14" t="s">
        <v>15</v>
      </c>
    </row>
    <row r="2128" spans="1:5" ht="15.75" x14ac:dyDescent="0.25">
      <c r="A2128" s="5">
        <v>1</v>
      </c>
      <c r="B2128" s="6" t="str">
        <f>"TOMADA MISTA  ( MOLDURA )"</f>
        <v>TOMADA MISTA  ( MOLDURA )</v>
      </c>
      <c r="C2128" s="6" t="str">
        <f>"56130101"</f>
        <v>56130101</v>
      </c>
      <c r="D2128" s="10"/>
      <c r="E2128" s="14" t="s">
        <v>15</v>
      </c>
    </row>
    <row r="2129" spans="1:5" ht="15.75" x14ac:dyDescent="0.25">
      <c r="A2129" s="4">
        <v>2</v>
      </c>
      <c r="B2129" t="str">
        <f>"MSVD TOMADA FUNDO DE PAINEL PARA TRILHO PADRÃO BRASIL"</f>
        <v>MSVD TOMADA FUNDO DE PAINEL PARA TRILHO PADRÃO BRASIL</v>
      </c>
      <c r="C2129" t="str">
        <f>"56130103"</f>
        <v>56130103</v>
      </c>
      <c r="D2129" s="9"/>
      <c r="E2129" s="14" t="s">
        <v>15</v>
      </c>
    </row>
    <row r="2130" spans="1:5" ht="15.75" x14ac:dyDescent="0.25">
      <c r="A2130" s="5">
        <v>1</v>
      </c>
      <c r="B2130" s="6" t="str">
        <f>"TRANSFORMADOR MONOF. 6KVA 380/220 V - IP 00"</f>
        <v>TRANSFORMADOR MONOF. 6KVA 380/220 V - IP 00</v>
      </c>
      <c r="C2130" s="6" t="str">
        <f>"56170005"</f>
        <v>56170005</v>
      </c>
      <c r="D2130" s="10"/>
      <c r="E2130" s="14" t="s">
        <v>15</v>
      </c>
    </row>
    <row r="2131" spans="1:5" ht="15.75" x14ac:dyDescent="0.25">
      <c r="A2131" s="4">
        <v>1</v>
      </c>
      <c r="B2131" t="str">
        <f>"TRANSFORMADOR MONOFÁSICO 500 VA - 380/220V"</f>
        <v>TRANSFORMADOR MONOFÁSICO 500 VA - 380/220V</v>
      </c>
      <c r="C2131" t="str">
        <f>"56170006"</f>
        <v>56170006</v>
      </c>
      <c r="D2131" s="9"/>
      <c r="E2131" s="14" t="s">
        <v>15</v>
      </c>
    </row>
    <row r="2132" spans="1:5" ht="15.75" x14ac:dyDescent="0.25">
      <c r="A2132" s="5">
        <v>10</v>
      </c>
      <c r="B2132" s="6" t="str">
        <f>"TRILHO TS 35 / 7,5"</f>
        <v>TRILHO TS 35 / 7,5</v>
      </c>
      <c r="C2132" s="6" t="str">
        <f>"56230001"</f>
        <v>56230001</v>
      </c>
      <c r="D2132" s="10"/>
      <c r="E2132" s="14" t="s">
        <v>15</v>
      </c>
    </row>
    <row r="2133" spans="1:5" ht="15.75" x14ac:dyDescent="0.25">
      <c r="A2133" s="4">
        <v>4</v>
      </c>
      <c r="B2133" t="str">
        <f>"TRILHO OMEGA 15mm"</f>
        <v>TRILHO OMEGA 15mm</v>
      </c>
      <c r="C2133" t="str">
        <f>"56230003"</f>
        <v>56230003</v>
      </c>
      <c r="D2133" s="9"/>
      <c r="E2133" s="14" t="s">
        <v>15</v>
      </c>
    </row>
    <row r="2134" spans="1:5" ht="15.75" x14ac:dyDescent="0.25">
      <c r="A2134" s="5">
        <v>2</v>
      </c>
      <c r="B2134" s="6" t="str">
        <f>"VENTILADOR PARA ARMARIO ELETRICO 250 X 250 MM - 220 V"</f>
        <v>VENTILADOR PARA ARMARIO ELETRICO 250 X 250 MM - 220 V</v>
      </c>
      <c r="C2134" s="6" t="str">
        <f>"56410001"</f>
        <v>56410001</v>
      </c>
      <c r="D2134" s="10"/>
      <c r="E2134" s="14" t="s">
        <v>15</v>
      </c>
    </row>
    <row r="2135" spans="1:5" ht="15.75" x14ac:dyDescent="0.25">
      <c r="A2135" s="4">
        <v>2</v>
      </c>
      <c r="B2135" t="str">
        <f>"VENTILADOR P/ ARM. ELET. 325 X 325 MM - 230 V  900 m³/h"</f>
        <v>VENTILADOR P/ ARM. ELET. 325 X 325 MM - 230 V  900 m³/h</v>
      </c>
      <c r="C2135" t="str">
        <f>"56410105"</f>
        <v>56410105</v>
      </c>
      <c r="D2135" s="9"/>
      <c r="E2135" s="14" t="s">
        <v>15</v>
      </c>
    </row>
    <row r="2136" spans="1:5" ht="15.75" x14ac:dyDescent="0.25">
      <c r="A2136" s="5">
        <v>4</v>
      </c>
      <c r="B2136" s="6" t="str">
        <f>"VENTILADOR P/ MOTOR AC  325 X 116 mm -380V - TRIF. c/ grade"</f>
        <v>VENTILADOR P/ MOTOR AC  325 X 116 mm -380V - TRIF. c/ grade</v>
      </c>
      <c r="C2136" s="6" t="str">
        <f>"56410305"</f>
        <v>56410305</v>
      </c>
      <c r="D2136" s="10"/>
      <c r="E2136" s="14" t="s">
        <v>15</v>
      </c>
    </row>
    <row r="2137" spans="1:5" ht="15.75" x14ac:dyDescent="0.25">
      <c r="A2137" s="4">
        <v>8</v>
      </c>
      <c r="B2137" t="str">
        <f>"VENTILADOR P/ SERVO MOTOR BOSCH DE 12 Nm"</f>
        <v>VENTILADOR P/ SERVO MOTOR BOSCH DE 12 Nm</v>
      </c>
      <c r="C2137" t="str">
        <f>"56410400"</f>
        <v>56410400</v>
      </c>
      <c r="D2137" s="9"/>
      <c r="E2137" s="14" t="s">
        <v>15</v>
      </c>
    </row>
    <row r="2138" spans="1:5" ht="15.75" x14ac:dyDescent="0.25">
      <c r="A2138" s="5">
        <v>1</v>
      </c>
      <c r="B2138" s="6" t="str">
        <f>"Video Inspeção iPQ- View c/ smart register - 3 chips - 1000"</f>
        <v>Video Inspeção iPQ- View c/ smart register - 3 chips - 1000</v>
      </c>
      <c r="C2138" s="6" t="str">
        <f>"56450020BE0"</f>
        <v>56450020BE0</v>
      </c>
      <c r="D2138" s="10"/>
      <c r="E2138" s="14" t="s">
        <v>15</v>
      </c>
    </row>
    <row r="2139" spans="1:5" ht="15.75" x14ac:dyDescent="0.25">
      <c r="A2139" s="4">
        <v>1</v>
      </c>
      <c r="B2139" t="str">
        <f>"Sistema de controle de viscosidade de tintas e vernizes"</f>
        <v>Sistema de controle de viscosidade de tintas e vernizes</v>
      </c>
      <c r="C2139" t="str">
        <f>"565100010"</f>
        <v>565100010</v>
      </c>
      <c r="D2139" s="9"/>
      <c r="E2139" s="14" t="s">
        <v>15</v>
      </c>
    </row>
    <row r="2140" spans="1:5" ht="15.75" x14ac:dyDescent="0.25">
      <c r="A2140" s="5">
        <v>2</v>
      </c>
      <c r="B2140" s="6" t="str">
        <f>"ADAPTADOR PARA MANIFOLD"</f>
        <v>ADAPTADOR PARA MANIFOLD</v>
      </c>
      <c r="C2140" s="6" t="str">
        <f>"61110010"</f>
        <v>61110010</v>
      </c>
      <c r="D2140" s="10"/>
      <c r="E2140" s="15" t="s">
        <v>16</v>
      </c>
    </row>
    <row r="2141" spans="1:5" ht="15.75" x14ac:dyDescent="0.25">
      <c r="A2141" s="4">
        <v>1</v>
      </c>
      <c r="B2141" t="str">
        <f>"ATUADOR PNEUMATICO TIPO B2 - TWIFLEX"</f>
        <v>ATUADOR PNEUMATICO TIPO B2 - TWIFLEX</v>
      </c>
      <c r="C2141" t="str">
        <f>"61340002"</f>
        <v>61340002</v>
      </c>
      <c r="D2141" s="9"/>
      <c r="E2141" s="15" t="s">
        <v>16</v>
      </c>
    </row>
    <row r="2142" spans="1:5" ht="15.75" x14ac:dyDescent="0.25">
      <c r="A2142" s="5">
        <v>2</v>
      </c>
      <c r="B2142" s="6" t="str">
        <f>"BASC. TRAZ. FEMEA ø 32"</f>
        <v>BASC. TRAZ. FEMEA ø 32</v>
      </c>
      <c r="C2142" s="6" t="str">
        <f>"61460002"</f>
        <v>61460002</v>
      </c>
      <c r="D2142" s="10"/>
      <c r="E2142" s="15" t="s">
        <v>16</v>
      </c>
    </row>
    <row r="2143" spans="1:5" ht="15.75" x14ac:dyDescent="0.25">
      <c r="A2143" s="4">
        <v>10</v>
      </c>
      <c r="B2143" t="str">
        <f>"BASC. TRAZ. MACHO ø 32"</f>
        <v>BASC. TRAZ. MACHO ø 32</v>
      </c>
      <c r="C2143" t="str">
        <f>"61460004"</f>
        <v>61460004</v>
      </c>
      <c r="D2143" s="9"/>
      <c r="E2143" s="15" t="s">
        <v>16</v>
      </c>
    </row>
    <row r="2144" spans="1:5" ht="15.75" x14ac:dyDescent="0.25">
      <c r="A2144" s="5">
        <v>4</v>
      </c>
      <c r="B2144" s="6" t="str">
        <f>"BASC. TRAZ. MACHO Ø 40"</f>
        <v>BASC. TRAZ. MACHO Ø 40</v>
      </c>
      <c r="C2144" s="6" t="str">
        <f>"61460005"</f>
        <v>61460005</v>
      </c>
      <c r="D2144" s="10"/>
      <c r="E2144" s="15" t="s">
        <v>16</v>
      </c>
    </row>
    <row r="2145" spans="1:5" ht="15.75" x14ac:dyDescent="0.25">
      <c r="A2145" s="4">
        <v>6</v>
      </c>
      <c r="B2145" t="str">
        <f>"BASC. TRAZ. MACHO Ø 50"</f>
        <v>BASC. TRAZ. MACHO Ø 50</v>
      </c>
      <c r="C2145" t="str">
        <f>"61460011"</f>
        <v>61460011</v>
      </c>
      <c r="D2145" s="9"/>
      <c r="E2145" s="15" t="s">
        <v>16</v>
      </c>
    </row>
    <row r="2146" spans="1:5" ht="15.75" x14ac:dyDescent="0.25">
      <c r="A2146" s="5">
        <v>2</v>
      </c>
      <c r="B2146" s="6" t="str">
        <f>"BASC. TRAZ. MACHO ø 63"</f>
        <v>BASC. TRAZ. MACHO ø 63</v>
      </c>
      <c r="C2146" s="6" t="str">
        <f>"61460012"</f>
        <v>61460012</v>
      </c>
      <c r="D2146" s="10"/>
      <c r="E2146" s="15" t="s">
        <v>16</v>
      </c>
    </row>
    <row r="2147" spans="1:5" ht="15.75" x14ac:dyDescent="0.25">
      <c r="A2147" s="4">
        <v>2</v>
      </c>
      <c r="B2147" t="str">
        <f>"BASE MANIFOLD PARA 4 VALVULAS - 1/4"""</f>
        <v>BASE MANIFOLD PARA 4 VALVULAS - 1/4"</v>
      </c>
      <c r="C2147" t="str">
        <f>"61480011"</f>
        <v>61480011</v>
      </c>
      <c r="D2147" s="9"/>
      <c r="E2147" s="15" t="s">
        <v>16</v>
      </c>
    </row>
    <row r="2148" spans="1:5" ht="15.75" x14ac:dyDescent="0.25">
      <c r="A2148" s="5">
        <v>4</v>
      </c>
      <c r="B2148" s="6" t="str">
        <f>"BICO DE AR CURTO C/ BOTAO BS-02"</f>
        <v>BICO DE AR CURTO C/ BOTAO BS-02</v>
      </c>
      <c r="C2148" s="6" t="str">
        <f>"61540010"</f>
        <v>61540010</v>
      </c>
      <c r="D2148" s="10"/>
      <c r="E2148" s="15" t="s">
        <v>16</v>
      </c>
    </row>
    <row r="2149" spans="1:5" ht="15.75" x14ac:dyDescent="0.25">
      <c r="A2149" s="4">
        <v>2</v>
      </c>
      <c r="B2149" t="str">
        <f>"CILINDRO ISO 32x50-DUPLA AÇÃO- SEM AMORTECIMENTO"</f>
        <v>CILINDRO ISO 32x50-DUPLA AÇÃO- SEM AMORTECIMENTO</v>
      </c>
      <c r="C2149" t="str">
        <f>"62120001"</f>
        <v>62120001</v>
      </c>
      <c r="D2149" s="9"/>
      <c r="E2149" s="15" t="s">
        <v>16</v>
      </c>
    </row>
    <row r="2150" spans="1:5" ht="15.75" x14ac:dyDescent="0.25">
      <c r="A2150" s="5">
        <v>6</v>
      </c>
      <c r="B2150" s="6" t="str">
        <f>"CILINDRO ISO 32x25 -DUPLA ACAO- SEM AMORTECIM. EMB. MAGNETIC"</f>
        <v>CILINDRO ISO 32x25 -DUPLA ACAO- SEM AMORTECIM. EMB. MAGNETIC</v>
      </c>
      <c r="C2150" s="6" t="str">
        <f>"62120003"</f>
        <v>62120003</v>
      </c>
      <c r="D2150" s="10"/>
      <c r="E2150" s="15" t="s">
        <v>16</v>
      </c>
    </row>
    <row r="2151" spans="1:5" ht="15.75" x14ac:dyDescent="0.25">
      <c r="A2151" s="4">
        <v>4</v>
      </c>
      <c r="B2151" t="str">
        <f>"CILINDRO ISO 50x120 - SEM AMORTECIMENTO EMB. MAGNETICO"</f>
        <v>CILINDRO ISO 50x120 - SEM AMORTECIMENTO EMB. MAGNETICO</v>
      </c>
      <c r="C2151" t="str">
        <f>"62120011"</f>
        <v>62120011</v>
      </c>
      <c r="D2151" s="9"/>
      <c r="E2151" s="15" t="s">
        <v>16</v>
      </c>
    </row>
    <row r="2152" spans="1:5" ht="15.75" x14ac:dyDescent="0.25">
      <c r="A2152" s="5">
        <v>16</v>
      </c>
      <c r="B2152" s="6" t="str">
        <f>"CILINDRO PNEUMATICO COMPACTO - SERIE CQ2  40x35"</f>
        <v>CILINDRO PNEUMATICO COMPACTO - SERIE CQ2  40x35</v>
      </c>
      <c r="C2152" s="6" t="str">
        <f>"62120013"</f>
        <v>62120013</v>
      </c>
      <c r="D2152" s="10"/>
      <c r="E2152" s="15" t="s">
        <v>16</v>
      </c>
    </row>
    <row r="2153" spans="1:5" ht="15.75" x14ac:dyDescent="0.25">
      <c r="A2153" s="4">
        <v>2</v>
      </c>
      <c r="B2153" t="str">
        <f>"CILINDRO ISO 63x380 -DUPLA ACAO- SEM AMORTECIMENTO- EMB. MAG"</f>
        <v>CILINDRO ISO 63x380 -DUPLA ACAO- SEM AMORTECIMENTO- EMB. MAG</v>
      </c>
      <c r="C2153" t="str">
        <f>"62120018"</f>
        <v>62120018</v>
      </c>
      <c r="D2153" s="9"/>
      <c r="E2153" s="15" t="s">
        <v>16</v>
      </c>
    </row>
    <row r="2154" spans="1:5" ht="15.75" x14ac:dyDescent="0.25">
      <c r="A2154" s="5">
        <v>2</v>
      </c>
      <c r="B2154" s="6" t="str">
        <f>"CILINDRO ISO 32x80 - DUPLA ACAO - EMB.MAG - SEM AMORTECIMENT"</f>
        <v>CILINDRO ISO 32x80 - DUPLA ACAO - EMB.MAG - SEM AMORTECIMENT</v>
      </c>
      <c r="C2154" s="6" t="str">
        <f>"62120026"</f>
        <v>62120026</v>
      </c>
      <c r="D2154" s="10"/>
      <c r="E2154" s="15" t="s">
        <v>16</v>
      </c>
    </row>
    <row r="2155" spans="1:5" ht="15.75" x14ac:dyDescent="0.25">
      <c r="A2155" s="4">
        <v>2</v>
      </c>
      <c r="B2155" t="str">
        <f>"CILINDRO COMPACTO ISO 63x15 DUPLA ACAO EMBOLO MAGNETICO"</f>
        <v>CILINDRO COMPACTO ISO 63x15 DUPLA ACAO EMBOLO MAGNETICO</v>
      </c>
      <c r="C2155" t="str">
        <f>"62120038"</f>
        <v>62120038</v>
      </c>
      <c r="D2155" s="9"/>
      <c r="E2155" s="15" t="s">
        <v>16</v>
      </c>
    </row>
    <row r="2156" spans="1:5" ht="15.75" x14ac:dyDescent="0.25">
      <c r="A2156" s="5">
        <v>2</v>
      </c>
      <c r="B2156" s="6" t="str">
        <f>"CILINDRO ISO 32 x 200 -DUPLA ACAO"</f>
        <v>CILINDRO ISO 32 x 200 -DUPLA ACAO</v>
      </c>
      <c r="C2156" s="6" t="str">
        <f>"62120041"</f>
        <v>62120041</v>
      </c>
      <c r="D2156" s="10"/>
      <c r="E2156" s="15" t="s">
        <v>16</v>
      </c>
    </row>
    <row r="2157" spans="1:5" ht="15.75" x14ac:dyDescent="0.25">
      <c r="A2157" s="4">
        <v>2</v>
      </c>
      <c r="B2157" t="str">
        <f>"CILINDRO ISO 50x250 - SEM AMORTECIMENTO EMB. MAGNETICO"</f>
        <v>CILINDRO ISO 50x250 - SEM AMORTECIMENTO EMB. MAGNETICO</v>
      </c>
      <c r="C2157" t="str">
        <f>"62120209"</f>
        <v>62120209</v>
      </c>
      <c r="D2157" s="9"/>
      <c r="E2157" s="15" t="s">
        <v>16</v>
      </c>
    </row>
    <row r="2158" spans="1:5" ht="15.75" x14ac:dyDescent="0.25">
      <c r="A2158" s="5">
        <v>40</v>
      </c>
      <c r="B2158" s="6" t="str">
        <f>"CILINDRO ACIONAMENTO GIR. DFPD-10-RP-90-RD-F03"</f>
        <v>CILINDRO ACIONAMENTO GIR. DFPD-10-RP-90-RD-F03</v>
      </c>
      <c r="C2158" s="6" t="str">
        <f>"62120237"</f>
        <v>62120237</v>
      </c>
      <c r="D2158" s="10"/>
      <c r="E2158" s="15" t="s">
        <v>16</v>
      </c>
    </row>
    <row r="2159" spans="1:5" ht="15.75" x14ac:dyDescent="0.25">
      <c r="A2159" s="4">
        <v>4</v>
      </c>
      <c r="B2159" t="str">
        <f>"CILINDRO ISO 40 x 100 DUPLA ACAO"</f>
        <v>CILINDRO ISO 40 x 100 DUPLA ACAO</v>
      </c>
      <c r="C2159" t="str">
        <f>"62120302"</f>
        <v>62120302</v>
      </c>
      <c r="D2159" s="9"/>
      <c r="E2159" s="15" t="s">
        <v>16</v>
      </c>
    </row>
    <row r="2160" spans="1:5" ht="15.75" x14ac:dyDescent="0.25">
      <c r="A2160" s="5">
        <v>2</v>
      </c>
      <c r="B2160" s="6" t="str">
        <f>"CONEXAO Y  TUBO 08  PO"</f>
        <v>CONEXAO Y  TUBO 08  PO</v>
      </c>
      <c r="C2160" s="6" t="str">
        <f>"62300000"</f>
        <v>62300000</v>
      </c>
      <c r="D2160" s="10"/>
      <c r="E2160" s="15" t="s">
        <v>16</v>
      </c>
    </row>
    <row r="2161" spans="1:5" ht="15.75" x14ac:dyDescent="0.25">
      <c r="A2161" s="4">
        <v>50</v>
      </c>
      <c r="B2161" t="str">
        <f>"CONEXAO Y  TUBO 06  PO"</f>
        <v>CONEXAO Y  TUBO 06  PO</v>
      </c>
      <c r="C2161" t="str">
        <f>"62300001"</f>
        <v>62300001</v>
      </c>
      <c r="D2161" s="9"/>
      <c r="E2161" s="15" t="s">
        <v>16</v>
      </c>
    </row>
    <row r="2162" spans="1:5" ht="15.75" x14ac:dyDescent="0.25">
      <c r="A2162" s="5">
        <v>22</v>
      </c>
      <c r="B2162" s="6" t="str">
        <f>"COTOVELO ORIENTAVEL 1/4"" - T Ø10"</f>
        <v>COTOVELO ORIENTAVEL 1/4" - T Ø10</v>
      </c>
      <c r="C2162" s="6" t="str">
        <f>"62300002"</f>
        <v>62300002</v>
      </c>
      <c r="D2162" s="10"/>
      <c r="E2162" s="15" t="s">
        <v>16</v>
      </c>
    </row>
    <row r="2163" spans="1:5" ht="15.75" x14ac:dyDescent="0.25">
      <c r="A2163" s="4">
        <v>32</v>
      </c>
      <c r="B2163" t="str">
        <f>"COTOVELO ORIENTAVEL 3/8"" - T Ø10"</f>
        <v>COTOVELO ORIENTAVEL 3/8" - T Ø10</v>
      </c>
      <c r="C2163" t="str">
        <f>"62300003"</f>
        <v>62300003</v>
      </c>
      <c r="D2163" s="9"/>
      <c r="E2163" s="15" t="s">
        <v>16</v>
      </c>
    </row>
    <row r="2164" spans="1:5" ht="15.75" x14ac:dyDescent="0.25">
      <c r="A2164" s="5">
        <v>1</v>
      </c>
      <c r="B2164" s="6" t="str">
        <f>"COTOVELO ORIENTAVEL 1/2"" - T Ø12"</f>
        <v>COTOVELO ORIENTAVEL 1/2" - T Ø12</v>
      </c>
      <c r="C2164" s="6" t="str">
        <f>"62300004"</f>
        <v>62300004</v>
      </c>
      <c r="D2164" s="10"/>
      <c r="E2164" s="15" t="s">
        <v>16</v>
      </c>
    </row>
    <row r="2165" spans="1:5" ht="15.75" x14ac:dyDescent="0.25">
      <c r="A2165" s="4">
        <v>2</v>
      </c>
      <c r="B2165" t="str">
        <f>"COTOVELO ORIENTAVEL 3/8"" - T Ø12"</f>
        <v>COTOVELO ORIENTAVEL 3/8" - T Ø12</v>
      </c>
      <c r="C2165" t="str">
        <f>"62300005"</f>
        <v>62300005</v>
      </c>
      <c r="D2165" s="9"/>
      <c r="E2165" s="15" t="s">
        <v>16</v>
      </c>
    </row>
    <row r="2166" spans="1:5" ht="15.75" x14ac:dyDescent="0.25">
      <c r="A2166" s="5">
        <v>72</v>
      </c>
      <c r="B2166" s="6" t="str">
        <f>"COTOVELO ORIENTAVEL 1/4"" - T Ø6"</f>
        <v>COTOVELO ORIENTAVEL 1/4" - T Ø6</v>
      </c>
      <c r="C2166" s="6" t="str">
        <f>"62300008"</f>
        <v>62300008</v>
      </c>
      <c r="D2166" s="10"/>
      <c r="E2166" s="15" t="s">
        <v>16</v>
      </c>
    </row>
    <row r="2167" spans="1:5" ht="15.75" x14ac:dyDescent="0.25">
      <c r="A2167" s="4">
        <v>141</v>
      </c>
      <c r="B2167" t="str">
        <f>"COTOVELO ORIENTAVEL 1/8"" - T Ø6"</f>
        <v>COTOVELO ORIENTAVEL 1/8" - T Ø6</v>
      </c>
      <c r="C2167" t="str">
        <f>"62300009"</f>
        <v>62300009</v>
      </c>
      <c r="D2167" s="9"/>
      <c r="E2167" s="15" t="s">
        <v>16</v>
      </c>
    </row>
    <row r="2168" spans="1:5" ht="15.75" x14ac:dyDescent="0.25">
      <c r="A2168" s="5">
        <v>6</v>
      </c>
      <c r="B2168" s="6" t="str">
        <f>"CONEXÃO  T ORIENTAVEL 1/2"" - T Ø12"</f>
        <v>CONEXÃO  T ORIENTAVEL 1/2" - T Ø12</v>
      </c>
      <c r="C2168" s="6" t="str">
        <f>"62300011"</f>
        <v>62300011</v>
      </c>
      <c r="D2168" s="10"/>
      <c r="E2168" s="15" t="s">
        <v>16</v>
      </c>
    </row>
    <row r="2169" spans="1:5" ht="15.75" x14ac:dyDescent="0.25">
      <c r="A2169" s="4">
        <v>1</v>
      </c>
      <c r="B2169" t="str">
        <f>"CONEXÃO  T ORIENTAVEL 1/4""  - T Ø6"</f>
        <v>CONEXÃO  T ORIENTAVEL 1/4"  - T Ø6</v>
      </c>
      <c r="C2169" t="str">
        <f>"62300013"</f>
        <v>62300013</v>
      </c>
      <c r="D2169" s="9"/>
      <c r="E2169" s="15" t="s">
        <v>16</v>
      </c>
    </row>
    <row r="2170" spans="1:5" ht="15.75" x14ac:dyDescent="0.25">
      <c r="A2170" s="5">
        <v>18</v>
      </c>
      <c r="B2170" s="6" t="str">
        <f>"CONEXÃO  T ORIENTAVEL 1/8"" - T Ø6"</f>
        <v>CONEXÃO  T ORIENTAVEL 1/8" - T Ø6</v>
      </c>
      <c r="C2170" s="6" t="str">
        <f>"62300014"</f>
        <v>62300014</v>
      </c>
      <c r="D2170" s="10"/>
      <c r="E2170" s="15" t="s">
        <v>16</v>
      </c>
    </row>
    <row r="2171" spans="1:5" ht="15.75" x14ac:dyDescent="0.25">
      <c r="A2171" s="4">
        <v>1</v>
      </c>
      <c r="B2171" t="str">
        <f>"CONEXAO T UNIÃO TUBO 06 PO"</f>
        <v>CONEXAO T UNIÃO TUBO 06 PO</v>
      </c>
      <c r="C2171" t="str">
        <f>"62300015"</f>
        <v>62300015</v>
      </c>
      <c r="D2171" s="9"/>
      <c r="E2171" s="15" t="s">
        <v>16</v>
      </c>
    </row>
    <row r="2172" spans="1:5" ht="15.75" x14ac:dyDescent="0.25">
      <c r="A2172" s="5">
        <v>3</v>
      </c>
      <c r="B2172" s="6" t="str">
        <f>"CONEXÃO  T UNIÃO TUBO 12  PO"</f>
        <v>CONEXÃO  T UNIÃO TUBO 12  PO</v>
      </c>
      <c r="C2172" s="6" t="str">
        <f>"62300017"</f>
        <v>62300017</v>
      </c>
      <c r="D2172" s="10"/>
      <c r="E2172" s="15" t="s">
        <v>16</v>
      </c>
    </row>
    <row r="2173" spans="1:5" ht="15.75" x14ac:dyDescent="0.25">
      <c r="A2173" s="4">
        <v>40</v>
      </c>
      <c r="B2173" t="str">
        <f>"COTOVELO ORIENTAVEL 1/4 - TØ08"</f>
        <v>COTOVELO ORIENTAVEL 1/4 - TØ08</v>
      </c>
      <c r="C2173" t="str">
        <f>"62300038"</f>
        <v>62300038</v>
      </c>
      <c r="D2173" s="9"/>
      <c r="E2173" s="15" t="s">
        <v>16</v>
      </c>
    </row>
    <row r="2174" spans="1:5" ht="15.75" x14ac:dyDescent="0.25">
      <c r="A2174" s="5">
        <v>2</v>
      </c>
      <c r="B2174" s="6" t="str">
        <f>"CONEXÃO RETA 1/2 - TØ16"</f>
        <v>CONEXÃO RETA 1/2 - TØ16</v>
      </c>
      <c r="C2174" s="6" t="str">
        <f>"62300039"</f>
        <v>62300039</v>
      </c>
      <c r="D2174" s="10"/>
      <c r="E2174" s="15" t="s">
        <v>16</v>
      </c>
    </row>
    <row r="2175" spans="1:5" ht="15.75" x14ac:dyDescent="0.25">
      <c r="A2175" s="4">
        <v>8</v>
      </c>
      <c r="B2175" t="str">
        <f>"CONECTOR MULTIPLO DM12-06NU-C2"</f>
        <v>CONECTOR MULTIPLO DM12-06NU-C2</v>
      </c>
      <c r="C2175" t="str">
        <f>"62300042"</f>
        <v>62300042</v>
      </c>
      <c r="D2175" s="9"/>
      <c r="E2175" s="15" t="s">
        <v>16</v>
      </c>
    </row>
    <row r="2176" spans="1:5" ht="15.75" x14ac:dyDescent="0.25">
      <c r="A2176" s="5">
        <v>4</v>
      </c>
      <c r="B2176" s="6" t="str">
        <f>"CONEXAO RETA 1/4 "" - T Ø10"</f>
        <v>CONEXAO RETA 1/4 " - T Ø10</v>
      </c>
      <c r="C2176" s="6" t="str">
        <f>"62300045"</f>
        <v>62300045</v>
      </c>
      <c r="D2176" s="10"/>
      <c r="E2176" s="15" t="s">
        <v>16</v>
      </c>
    </row>
    <row r="2177" spans="1:5" ht="15.75" x14ac:dyDescent="0.25">
      <c r="A2177" s="4">
        <v>6</v>
      </c>
      <c r="B2177" t="str">
        <f>"CONEXAO RETA 1/4 "" - T Ø6"</f>
        <v>CONEXAO RETA 1/4 " - T Ø6</v>
      </c>
      <c r="C2177" t="str">
        <f>"62300047"</f>
        <v>62300047</v>
      </c>
      <c r="D2177" s="9"/>
      <c r="E2177" s="15" t="s">
        <v>16</v>
      </c>
    </row>
    <row r="2178" spans="1:5" ht="15.75" x14ac:dyDescent="0.25">
      <c r="A2178" s="5">
        <v>45</v>
      </c>
      <c r="B2178" s="6" t="str">
        <f>"CONEXAO RETA 1/8 "" - T ø 6"</f>
        <v>CONEXAO RETA 1/8 " - T ø 6</v>
      </c>
      <c r="C2178" s="6" t="str">
        <f>"62300048"</f>
        <v>62300048</v>
      </c>
      <c r="D2178" s="10"/>
      <c r="E2178" s="15" t="s">
        <v>16</v>
      </c>
    </row>
    <row r="2179" spans="1:5" ht="15.75" x14ac:dyDescent="0.25">
      <c r="A2179" s="4">
        <v>1</v>
      </c>
      <c r="B2179" t="str">
        <f>"CONEXAO RETA 3/8 "" - TØ 10"</f>
        <v>CONEXAO RETA 3/8 " - TØ 10</v>
      </c>
      <c r="C2179" t="str">
        <f>"62300049"</f>
        <v>62300049</v>
      </c>
      <c r="D2179" s="9"/>
      <c r="E2179" s="15" t="s">
        <v>16</v>
      </c>
    </row>
    <row r="2180" spans="1:5" ht="15.75" x14ac:dyDescent="0.25">
      <c r="A2180" s="5">
        <v>4</v>
      </c>
      <c r="B2180" s="6" t="str">
        <f>"CONEXAO RETA 1/4 "" MACHO BSPT - T Ø8"</f>
        <v>CONEXAO RETA 1/4 " MACHO BSPT - T Ø8</v>
      </c>
      <c r="C2180" s="6" t="str">
        <f>"62300052"</f>
        <v>62300052</v>
      </c>
      <c r="D2180" s="10"/>
      <c r="E2180" s="15" t="s">
        <v>16</v>
      </c>
    </row>
    <row r="2181" spans="1:5" ht="15.75" x14ac:dyDescent="0.25">
      <c r="A2181" s="4">
        <v>4</v>
      </c>
      <c r="B2181" t="str">
        <f>"COTOVELO ORIENTAVEL 1/2"" - T Ø10"</f>
        <v>COTOVELO ORIENTAVEL 1/2" - T Ø10</v>
      </c>
      <c r="C2181" t="str">
        <f>"62300076"</f>
        <v>62300076</v>
      </c>
      <c r="D2181" s="9"/>
      <c r="E2181" s="15" t="s">
        <v>16</v>
      </c>
    </row>
    <row r="2182" spans="1:5" ht="15.75" x14ac:dyDescent="0.25">
      <c r="A2182" s="5">
        <v>1</v>
      </c>
      <c r="B2182" s="6" t="str">
        <f>"UNIAO DUPLA FEMEA Ø10"</f>
        <v>UNIAO DUPLA FEMEA Ø10</v>
      </c>
      <c r="C2182" s="6" t="str">
        <f>"62300086"</f>
        <v>62300086</v>
      </c>
      <c r="D2182" s="10"/>
      <c r="E2182" s="15" t="s">
        <v>16</v>
      </c>
    </row>
    <row r="2183" spans="1:5" ht="15.75" x14ac:dyDescent="0.25">
      <c r="A2183" s="4">
        <v>2</v>
      </c>
      <c r="B2183" t="str">
        <f>"REDUÇÃO PARA TUBO -  Ø08 - Ø06"</f>
        <v>REDUÇÃO PARA TUBO -  Ø08 - Ø06</v>
      </c>
      <c r="C2183" t="str">
        <f>"62300091"</f>
        <v>62300091</v>
      </c>
      <c r="D2183" s="9"/>
      <c r="E2183" s="15" t="s">
        <v>16</v>
      </c>
    </row>
    <row r="2184" spans="1:5" ht="15.75" x14ac:dyDescent="0.25">
      <c r="A2184" s="5">
        <v>2</v>
      </c>
      <c r="B2184" s="6" t="str">
        <f>"REDUÇÃO PARA TUBO -  Ø12 - Ø10"</f>
        <v>REDUÇÃO PARA TUBO -  Ø12 - Ø10</v>
      </c>
      <c r="C2184" s="6" t="str">
        <f>"62300094"</f>
        <v>62300094</v>
      </c>
      <c r="D2184" s="10"/>
      <c r="E2184" s="15" t="s">
        <v>16</v>
      </c>
    </row>
    <row r="2185" spans="1:5" ht="15.75" x14ac:dyDescent="0.25">
      <c r="A2185" s="4">
        <v>1</v>
      </c>
      <c r="B2185" t="str">
        <f>"CONEXÃO TAMPÃO PARA Ø 06"</f>
        <v>CONEXÃO TAMPÃO PARA Ø 06</v>
      </c>
      <c r="C2185" t="str">
        <f>"62300120"</f>
        <v>62300120</v>
      </c>
      <c r="D2185" s="9"/>
      <c r="E2185" s="15" t="s">
        <v>16</v>
      </c>
    </row>
    <row r="2186" spans="1:5" ht="15.75" x14ac:dyDescent="0.25">
      <c r="A2186" s="5">
        <v>4</v>
      </c>
      <c r="B2186" s="6" t="str">
        <f>"CONEXÃO T UNIÃO TUBO 10"</f>
        <v>CONEXÃO T UNIÃO TUBO 10</v>
      </c>
      <c r="C2186" s="6" t="str">
        <f>"62300133"</f>
        <v>62300133</v>
      </c>
      <c r="D2186" s="10"/>
      <c r="E2186" s="15" t="s">
        <v>16</v>
      </c>
    </row>
    <row r="2187" spans="1:5" ht="15.75" x14ac:dyDescent="0.25">
      <c r="A2187" s="4">
        <v>2</v>
      </c>
      <c r="B2187" t="str">
        <f>"CONEXAO LATAO SEMI COTOVELO 1/8"" NPT - T  Ø04"</f>
        <v>CONEXAO LATAO SEMI COTOVELO 1/8" NPT - T  Ø04</v>
      </c>
      <c r="C2187" t="str">
        <f>"62300240"</f>
        <v>62300240</v>
      </c>
      <c r="D2187" s="9"/>
      <c r="E2187" s="15" t="s">
        <v>16</v>
      </c>
    </row>
    <row r="2188" spans="1:5" ht="15.75" x14ac:dyDescent="0.25">
      <c r="A2188" s="5">
        <v>1</v>
      </c>
      <c r="B2188" s="6" t="str">
        <f>"CONEXAO  COTOVELO TRIPLO VERTICAL Ø08 x 1/4"""</f>
        <v>CONEXAO  COTOVELO TRIPLO VERTICAL Ø08 x 1/4"</v>
      </c>
      <c r="C2188" s="6" t="str">
        <f>"62300400"</f>
        <v>62300400</v>
      </c>
      <c r="D2188" s="10"/>
      <c r="E2188" s="15" t="s">
        <v>16</v>
      </c>
    </row>
    <row r="2189" spans="1:5" ht="15.75" x14ac:dyDescent="0.25">
      <c r="A2189" s="4">
        <v>1</v>
      </c>
      <c r="B2189" t="str">
        <f>"CONEXAO  COTOVELO QUADRUPLO VERTICAL Ø06 x 1/8"""</f>
        <v>CONEXAO  COTOVELO QUADRUPLO VERTICAL Ø06 x 1/8"</v>
      </c>
      <c r="C2189" t="str">
        <f>"62300401"</f>
        <v>62300401</v>
      </c>
      <c r="D2189" s="9"/>
      <c r="E2189" s="15" t="s">
        <v>16</v>
      </c>
    </row>
    <row r="2190" spans="1:5" ht="15.75" x14ac:dyDescent="0.25">
      <c r="A2190" s="5">
        <v>1</v>
      </c>
      <c r="B2190" s="6" t="str">
        <f>"CONEXAO  COTOVELO DUPLO VERTICAL Ø08 x 1/4"""</f>
        <v>CONEXAO  COTOVELO DUPLO VERTICAL Ø08 x 1/4"</v>
      </c>
      <c r="C2190" s="6" t="str">
        <f>"62300402"</f>
        <v>62300402</v>
      </c>
      <c r="D2190" s="10"/>
      <c r="E2190" s="15" t="s">
        <v>16</v>
      </c>
    </row>
    <row r="2191" spans="1:5" ht="15.75" x14ac:dyDescent="0.25">
      <c r="A2191" s="4">
        <v>1</v>
      </c>
      <c r="B2191" t="str">
        <f>"CONEXAO  COTOVELO TRIPLO VERTICAL Ø06 x 1/8"""</f>
        <v>CONEXAO  COTOVELO TRIPLO VERTICAL Ø06 x 1/8"</v>
      </c>
      <c r="C2191" t="str">
        <f>"62300403"</f>
        <v>62300403</v>
      </c>
      <c r="D2191" s="9"/>
      <c r="E2191" s="15" t="s">
        <v>16</v>
      </c>
    </row>
    <row r="2192" spans="1:5" ht="15.75" x14ac:dyDescent="0.25">
      <c r="A2192" s="5">
        <v>2</v>
      </c>
      <c r="B2192" s="6" t="str">
        <f>"CONEXAO  COTOVELO DUPLO VERTICAL Ø06 x 1/4"""</f>
        <v>CONEXAO  COTOVELO DUPLO VERTICAL Ø06 x 1/4"</v>
      </c>
      <c r="C2192" s="6" t="str">
        <f>"62300404"</f>
        <v>62300404</v>
      </c>
      <c r="D2192" s="10"/>
      <c r="E2192" s="15" t="s">
        <v>16</v>
      </c>
    </row>
    <row r="2193" spans="1:5" ht="15.75" x14ac:dyDescent="0.25">
      <c r="A2193" s="4">
        <v>1</v>
      </c>
      <c r="B2193" t="str">
        <f>"CONEXAO  COTOVELO QUADRUPLO VERTICAL Ø06 x 1/4"""</f>
        <v>CONEXAO  COTOVELO QUADRUPLO VERTICAL Ø06 x 1/4"</v>
      </c>
      <c r="C2193" t="str">
        <f>"62300405"</f>
        <v>62300405</v>
      </c>
      <c r="D2193" s="9"/>
      <c r="E2193" s="15" t="s">
        <v>16</v>
      </c>
    </row>
    <row r="2194" spans="1:5" ht="15.75" x14ac:dyDescent="0.25">
      <c r="A2194" s="5">
        <v>1</v>
      </c>
      <c r="B2194" s="6" t="str">
        <f>"CONEXAO  COTOVELO QUADRUPLO VERTICAL Ø10 x 1/4"""</f>
        <v>CONEXAO  COTOVELO QUADRUPLO VERTICAL Ø10 x 1/4"</v>
      </c>
      <c r="C2194" s="6" t="str">
        <f>"62300406"</f>
        <v>62300406</v>
      </c>
      <c r="D2194" s="10"/>
      <c r="E2194" s="15" t="s">
        <v>16</v>
      </c>
    </row>
    <row r="2195" spans="1:5" ht="15.75" x14ac:dyDescent="0.25">
      <c r="A2195" s="4">
        <v>1</v>
      </c>
      <c r="B2195" t="str">
        <f>"CONEXAO INSTANTANEA TRIPLA Ø06 x 1/4"""</f>
        <v>CONEXAO INSTANTANEA TRIPLA Ø06 x 1/4"</v>
      </c>
      <c r="C2195" t="str">
        <f>"62300408"</f>
        <v>62300408</v>
      </c>
      <c r="D2195" s="9"/>
      <c r="E2195" s="15" t="s">
        <v>16</v>
      </c>
    </row>
    <row r="2196" spans="1:5" ht="15.75" x14ac:dyDescent="0.25">
      <c r="A2196" s="5">
        <v>2</v>
      </c>
      <c r="B2196" s="6" t="str">
        <f>"CONEXAO INSTANTANEA TRIPLA Ø10 x 1/2"""</f>
        <v>CONEXAO INSTANTANEA TRIPLA Ø10 x 1/2"</v>
      </c>
      <c r="C2196" s="6" t="str">
        <f>"62300413"</f>
        <v>62300413</v>
      </c>
      <c r="D2196" s="10"/>
      <c r="E2196" s="15" t="s">
        <v>16</v>
      </c>
    </row>
    <row r="2197" spans="1:5" ht="15.75" x14ac:dyDescent="0.25">
      <c r="A2197" s="4">
        <v>18</v>
      </c>
      <c r="B2197" t="str">
        <f>"CONEXAO  RETA FEMEA Ø06 x 1/8"""</f>
        <v>CONEXAO  RETA FEMEA Ø06 x 1/8"</v>
      </c>
      <c r="C2197" t="str">
        <f>"62300420"</f>
        <v>62300420</v>
      </c>
      <c r="D2197" s="9"/>
      <c r="E2197" s="15" t="s">
        <v>16</v>
      </c>
    </row>
    <row r="2198" spans="1:5" ht="15.75" x14ac:dyDescent="0.25">
      <c r="A2198" s="5">
        <v>5</v>
      </c>
      <c r="B2198" s="6" t="str">
        <f>"CONEXAO  RETA FEMEA Ø10 x 1/4"""</f>
        <v>CONEXAO  RETA FEMEA Ø10 x 1/4"</v>
      </c>
      <c r="C2198" s="6" t="str">
        <f>"62300421"</f>
        <v>62300421</v>
      </c>
      <c r="D2198" s="10"/>
      <c r="E2198" s="15" t="s">
        <v>16</v>
      </c>
    </row>
    <row r="2199" spans="1:5" ht="15.75" x14ac:dyDescent="0.25">
      <c r="A2199" s="4">
        <v>3</v>
      </c>
      <c r="B2199" t="str">
        <f>"CONEXAO  RETA FEMEA Ø08 x 1/4"""</f>
        <v>CONEXAO  RETA FEMEA Ø08 x 1/4"</v>
      </c>
      <c r="C2199" t="str">
        <f>"62300422"</f>
        <v>62300422</v>
      </c>
      <c r="D2199" s="9"/>
      <c r="E2199" s="15" t="s">
        <v>16</v>
      </c>
    </row>
    <row r="2200" spans="1:5" ht="15.75" x14ac:dyDescent="0.25">
      <c r="A2200" s="5">
        <v>11</v>
      </c>
      <c r="B2200" s="6" t="str">
        <f>"CONEXAO  RETA FEMEA Ø06 x 1/4"""</f>
        <v>CONEXAO  RETA FEMEA Ø06 x 1/4"</v>
      </c>
      <c r="C2200" s="6" t="str">
        <f>"62300425"</f>
        <v>62300425</v>
      </c>
      <c r="D2200" s="10"/>
      <c r="E2200" s="15" t="s">
        <v>16</v>
      </c>
    </row>
    <row r="2201" spans="1:5" ht="15.75" x14ac:dyDescent="0.25">
      <c r="A2201" s="4">
        <v>2</v>
      </c>
      <c r="B2201" t="str">
        <f>"CONEXAO  RETA FEMEA Ø16 x 1/2"""</f>
        <v>CONEXAO  RETA FEMEA Ø16 x 1/2"</v>
      </c>
      <c r="C2201" t="str">
        <f>"62300426"</f>
        <v>62300426</v>
      </c>
      <c r="D2201" s="9"/>
      <c r="E2201" s="15" t="s">
        <v>16</v>
      </c>
    </row>
    <row r="2202" spans="1:5" ht="15.75" x14ac:dyDescent="0.25">
      <c r="A2202" s="5">
        <v>8</v>
      </c>
      <c r="B2202" s="6" t="str">
        <f>"ENGATE RÁPIDO P/ AR 1/4"" FEMEA"</f>
        <v>ENGATE RÁPIDO P/ AR 1/4" FEMEA</v>
      </c>
      <c r="C2202" s="6" t="str">
        <f>"63000004"</f>
        <v>63000004</v>
      </c>
      <c r="D2202" s="10"/>
      <c r="E2202" s="15" t="s">
        <v>16</v>
      </c>
    </row>
    <row r="2203" spans="1:5" ht="15.75" x14ac:dyDescent="0.25">
      <c r="A2203" s="4">
        <v>186</v>
      </c>
      <c r="B2203" t="str">
        <f>"ESPIGÃO DE LATÃO R-1/2  x 1/2"""</f>
        <v>ESPIGÃO DE LATÃO R-1/2  x 1/2"</v>
      </c>
      <c r="C2203" t="str">
        <f>"63080001"</f>
        <v>63080001</v>
      </c>
      <c r="D2203" s="9"/>
      <c r="E2203" s="15" t="s">
        <v>16</v>
      </c>
    </row>
    <row r="2204" spans="1:5" ht="15.75" x14ac:dyDescent="0.25">
      <c r="A2204" s="5">
        <v>14</v>
      </c>
      <c r="B2204" s="6" t="str">
        <f>"ESPIGÃO DE LATÃO R-1/2"" x 3/4 """</f>
        <v>ESPIGÃO DE LATÃO R-1/2" x 3/4 "</v>
      </c>
      <c r="C2204" s="6" t="str">
        <f>"63080002"</f>
        <v>63080002</v>
      </c>
      <c r="D2204" s="10"/>
      <c r="E2204" s="15" t="s">
        <v>16</v>
      </c>
    </row>
    <row r="2205" spans="1:5" ht="15.75" x14ac:dyDescent="0.25">
      <c r="A2205" s="4">
        <v>8</v>
      </c>
      <c r="B2205" t="str">
        <f>"ESPIGÃO DE LATÃO R-1"" x 1"""</f>
        <v>ESPIGÃO DE LATÃO R-1" x 1"</v>
      </c>
      <c r="C2205" t="str">
        <f>"63080004"</f>
        <v>63080004</v>
      </c>
      <c r="D2205" s="9"/>
      <c r="E2205" s="15" t="s">
        <v>16</v>
      </c>
    </row>
    <row r="2206" spans="1:5" ht="15.75" x14ac:dyDescent="0.25">
      <c r="A2206" s="5">
        <v>4</v>
      </c>
      <c r="B2206" s="6" t="str">
        <f>"ESPIGÃO 1.1/4''  LATÂO"</f>
        <v>ESPIGÃO 1.1/4''  LATÂO</v>
      </c>
      <c r="C2206" s="6" t="str">
        <f>"63080010"</f>
        <v>63080010</v>
      </c>
      <c r="D2206" s="10"/>
      <c r="E2206" s="15" t="s">
        <v>16</v>
      </c>
    </row>
    <row r="2207" spans="1:5" ht="15.75" x14ac:dyDescent="0.25">
      <c r="A2207" s="4">
        <v>8</v>
      </c>
      <c r="B2207" t="str">
        <f>"ESPIGÃO LATÃO R-1/4'' x 1/2 """</f>
        <v>ESPIGÃO LATÃO R-1/4'' x 1/2 "</v>
      </c>
      <c r="C2207" t="str">
        <f>"63080011"</f>
        <v>63080011</v>
      </c>
      <c r="D2207" s="9"/>
      <c r="E2207" s="15" t="s">
        <v>16</v>
      </c>
    </row>
    <row r="2208" spans="1:5" ht="15.75" x14ac:dyDescent="0.25">
      <c r="A2208" s="5">
        <v>7</v>
      </c>
      <c r="B2208" s="6" t="str">
        <f>"ESPIGÃO DE LATÃO R-3/4'' X 1 """</f>
        <v>ESPIGÃO DE LATÃO R-3/4'' X 1 "</v>
      </c>
      <c r="C2208" s="6" t="str">
        <f>"63080013"</f>
        <v>63080013</v>
      </c>
      <c r="D2208" s="10"/>
      <c r="E2208" s="15" t="s">
        <v>16</v>
      </c>
    </row>
    <row r="2209" spans="1:5" ht="15.75" x14ac:dyDescent="0.25">
      <c r="A2209" s="4">
        <v>88</v>
      </c>
      <c r="B2209" t="str">
        <f>"ESPIGÃO DE LATÃO R-3/4"" x 1/2"""</f>
        <v>ESPIGÃO DE LATÃO R-3/4" x 1/2"</v>
      </c>
      <c r="C2209" t="str">
        <f>"63080016"</f>
        <v>63080016</v>
      </c>
      <c r="D2209" s="9"/>
      <c r="E2209" s="15" t="s">
        <v>16</v>
      </c>
    </row>
    <row r="2210" spans="1:5" ht="15.75" x14ac:dyDescent="0.25">
      <c r="A2210" s="5">
        <v>8</v>
      </c>
      <c r="B2210" s="6" t="str">
        <f>"ESPIGÃO DE LATÃO R 1"" x 3/4"""</f>
        <v>ESPIGÃO DE LATÃO R 1" x 3/4"</v>
      </c>
      <c r="C2210" s="6" t="str">
        <f>"63080022"</f>
        <v>63080022</v>
      </c>
      <c r="D2210" s="10"/>
      <c r="E2210" s="15" t="s">
        <v>16</v>
      </c>
    </row>
    <row r="2211" spans="1:5" ht="15.75" x14ac:dyDescent="0.25">
      <c r="A2211" s="4">
        <v>8</v>
      </c>
      <c r="B2211" t="str">
        <f>"ESPIGÃO DE LATÃO R-1/2"" FEMEA  x  1/2"""</f>
        <v>ESPIGÃO DE LATÃO R-1/2" FEMEA  x  1/2"</v>
      </c>
      <c r="C2211" t="str">
        <f>"63080041"</f>
        <v>63080041</v>
      </c>
      <c r="D2211" s="9"/>
      <c r="E2211" s="15" t="s">
        <v>16</v>
      </c>
    </row>
    <row r="2212" spans="1:5" ht="15.75" x14ac:dyDescent="0.25">
      <c r="A2212" s="5">
        <v>2</v>
      </c>
      <c r="B2212" s="6" t="str">
        <f>"FILTRO EM Y 1/2"" C/ MALHA FILTRANTE"</f>
        <v>FILTRO EM Y 1/2" C/ MALHA FILTRANTE</v>
      </c>
      <c r="C2212" s="6" t="str">
        <f>"63320120"</f>
        <v>63320120</v>
      </c>
      <c r="D2212" s="10"/>
      <c r="E2212" s="15" t="s">
        <v>16</v>
      </c>
    </row>
    <row r="2213" spans="1:5" ht="15.75" x14ac:dyDescent="0.25">
      <c r="A2213" s="4">
        <v>8</v>
      </c>
      <c r="B2213" t="str">
        <f>"FILTRO EM Y 3/4"" BSP C0M MALHA FILTRANTE"</f>
        <v>FILTRO EM Y 3/4" BSP C0M MALHA FILTRANTE</v>
      </c>
      <c r="C2213" t="str">
        <f>"63320121"</f>
        <v>63320121</v>
      </c>
      <c r="D2213" s="9"/>
      <c r="E2213" s="15" t="s">
        <v>16</v>
      </c>
    </row>
    <row r="2214" spans="1:5" ht="15.75" x14ac:dyDescent="0.25">
      <c r="A2214" s="5">
        <v>1</v>
      </c>
      <c r="B2214" s="6" t="str">
        <f>"FILTRO DE AR COALESCENTE SERIE AFM"</f>
        <v>FILTRO DE AR COALESCENTE SERIE AFM</v>
      </c>
      <c r="C2214" s="6" t="str">
        <f>"63320130"</f>
        <v>63320130</v>
      </c>
      <c r="D2214" s="10"/>
      <c r="E2214" s="15" t="s">
        <v>16</v>
      </c>
    </row>
    <row r="2215" spans="1:5" ht="15.75" x14ac:dyDescent="0.25">
      <c r="A2215" s="4">
        <v>12</v>
      </c>
      <c r="B2215" t="str">
        <f>"GARFO C/ ROTULA D32- M10 X1,25"</f>
        <v>GARFO C/ ROTULA D32- M10 X1,25</v>
      </c>
      <c r="C2215" t="str">
        <f>"63560001"</f>
        <v>63560001</v>
      </c>
      <c r="D2215" s="9"/>
      <c r="E2215" s="15" t="s">
        <v>16</v>
      </c>
    </row>
    <row r="2216" spans="1:5" ht="15.75" x14ac:dyDescent="0.25">
      <c r="A2216" s="5">
        <v>8</v>
      </c>
      <c r="B2216" s="6" t="str">
        <f>"GARFO C/ ROTULA D50/D63 -  M16 X1,5"</f>
        <v>GARFO C/ ROTULA D50/D63 -  M16 X1,5</v>
      </c>
      <c r="C2216" s="6" t="str">
        <f>"63560002"</f>
        <v>63560002</v>
      </c>
      <c r="D2216" s="10"/>
      <c r="E2216" s="15" t="s">
        <v>16</v>
      </c>
    </row>
    <row r="2217" spans="1:5" ht="15.75" x14ac:dyDescent="0.25">
      <c r="A2217" s="4">
        <v>4</v>
      </c>
      <c r="B2217" t="str">
        <f>"GARFO C/ ROTULA D40 - M12 x 1,25"</f>
        <v>GARFO C/ ROTULA D40 - M12 x 1,25</v>
      </c>
      <c r="C2217" t="str">
        <f>"63560004"</f>
        <v>63560004</v>
      </c>
      <c r="D2217" s="9"/>
      <c r="E2217" s="15" t="s">
        <v>16</v>
      </c>
    </row>
    <row r="2218" spans="1:5" ht="15.75" x14ac:dyDescent="0.25">
      <c r="A2218" s="5">
        <v>16</v>
      </c>
      <c r="B2218" s="6" t="str">
        <f>"JUNTA FLUTUANTE - JA20-8-125"</f>
        <v>JUNTA FLUTUANTE - JA20-8-125</v>
      </c>
      <c r="C2218" s="6" t="str">
        <f>"63920005"</f>
        <v>63920005</v>
      </c>
      <c r="D2218" s="10"/>
      <c r="E2218" s="15" t="s">
        <v>16</v>
      </c>
    </row>
    <row r="2219" spans="1:5" ht="15.75" x14ac:dyDescent="0.25">
      <c r="A2219" s="4">
        <v>16</v>
      </c>
      <c r="B2219" t="str">
        <f>"MANOMETRO G46-10-01C 1/8 ( PARA PAINEL)"</f>
        <v>MANOMETRO G46-10-01C 1/8 ( PARA PAINEL)</v>
      </c>
      <c r="C2219" t="str">
        <f>"64270008"</f>
        <v>64270008</v>
      </c>
      <c r="D2219" s="9"/>
      <c r="E2219" s="15" t="s">
        <v>16</v>
      </c>
    </row>
    <row r="2220" spans="1:5" ht="15.75" x14ac:dyDescent="0.25">
      <c r="A2220" s="5">
        <v>11</v>
      </c>
      <c r="B2220" s="6" t="str">
        <f>"MANOMETRO PAINEL DE 0  A  6 Kgf."</f>
        <v>MANOMETRO PAINEL DE 0  A  6 Kgf.</v>
      </c>
      <c r="C2220" s="6" t="str">
        <f>"64270016"</f>
        <v>64270016</v>
      </c>
      <c r="D2220" s="10"/>
      <c r="E2220" s="15" t="s">
        <v>16</v>
      </c>
    </row>
    <row r="2221" spans="1:5" ht="15.75" x14ac:dyDescent="0.25">
      <c r="A2221" s="4">
        <v>12</v>
      </c>
      <c r="B2221" t="str">
        <f>"PINO P/ ENGATE MACHO ROSCA 1/4 "" - AÇO"</f>
        <v>PINO P/ ENGATE MACHO ROSCA 1/4 " - AÇO</v>
      </c>
      <c r="C2221" t="str">
        <f>"64880010"</f>
        <v>64880010</v>
      </c>
      <c r="D2221" s="9"/>
      <c r="E2221" s="15" t="s">
        <v>16</v>
      </c>
    </row>
    <row r="2222" spans="1:5" ht="15.75" x14ac:dyDescent="0.25">
      <c r="A2222" s="5">
        <v>1</v>
      </c>
      <c r="B2222" s="6" t="str">
        <f>"CONJUNTO PNEUMATICO CONTRA PRESSAO SAIDA"</f>
        <v>CONJUNTO PNEUMATICO CONTRA PRESSAO SAIDA</v>
      </c>
      <c r="C2222" s="6" t="str">
        <f>"64910200SMC"</f>
        <v>64910200SMC</v>
      </c>
      <c r="D2222" s="10"/>
      <c r="E2222" s="15" t="s">
        <v>16</v>
      </c>
    </row>
    <row r="2223" spans="1:5" ht="15.75" x14ac:dyDescent="0.25">
      <c r="A2223" s="4">
        <v>1</v>
      </c>
      <c r="B2223" t="str">
        <f>"CONJUNTO PNEUMATICO CONTRA PRESSAO ENTRADA"</f>
        <v>CONJUNTO PNEUMATICO CONTRA PRESSAO ENTRADA</v>
      </c>
      <c r="C2223" t="str">
        <f>"64910215SMC"</f>
        <v>64910215SMC</v>
      </c>
      <c r="D2223" s="9"/>
      <c r="E2223" s="15" t="s">
        <v>16</v>
      </c>
    </row>
    <row r="2224" spans="1:5" ht="15.75" x14ac:dyDescent="0.25">
      <c r="A2224" s="5">
        <v>1</v>
      </c>
      <c r="B2224" s="6" t="str">
        <f>"CONJUNTO PNEUMATICO ALIMENTAÇÃO"</f>
        <v>CONJUNTO PNEUMATICO ALIMENTAÇÃO</v>
      </c>
      <c r="C2224" s="6" t="str">
        <f>"64910240SMC"</f>
        <v>64910240SMC</v>
      </c>
      <c r="D2224" s="10"/>
      <c r="E2224" s="15" t="s">
        <v>16</v>
      </c>
    </row>
    <row r="2225" spans="1:5" ht="15.75" x14ac:dyDescent="0.25">
      <c r="A2225" s="4">
        <v>1</v>
      </c>
      <c r="B2225" t="str">
        <f>"CONJUNTO PNEUMATICO TROCA AUTOMATICA DE SAIDA"</f>
        <v>CONJUNTO PNEUMATICO TROCA AUTOMATICA DE SAIDA</v>
      </c>
      <c r="C2225" t="str">
        <f>"64910245SMC"</f>
        <v>64910245SMC</v>
      </c>
      <c r="D2225" s="9"/>
      <c r="E2225" s="15" t="s">
        <v>16</v>
      </c>
    </row>
    <row r="2226" spans="1:5" ht="15.75" x14ac:dyDescent="0.25">
      <c r="A2226" s="5">
        <v>1</v>
      </c>
      <c r="B2226" s="6" t="str">
        <f>"PNEUMATICO DE ALIMENTACAO EASY CLEAN SMC"</f>
        <v>PNEUMATICO DE ALIMENTACAO EASY CLEAN SMC</v>
      </c>
      <c r="C2226" s="6" t="str">
        <f>"64910250SMC"</f>
        <v>64910250SMC</v>
      </c>
      <c r="D2226" s="10"/>
      <c r="E2226" s="15" t="s">
        <v>16</v>
      </c>
    </row>
    <row r="2227" spans="1:5" ht="15.75" x14ac:dyDescent="0.25">
      <c r="A2227" s="4">
        <v>1</v>
      </c>
      <c r="B2227" t="str">
        <f>"CONJUNTO PNEUMATICO TROCA AUTOMATICA DE ENTRADA"</f>
        <v>CONJUNTO PNEUMATICO TROCA AUTOMATICA DE ENTRADA</v>
      </c>
      <c r="C2227" t="str">
        <f>"64910325SMC"</f>
        <v>64910325SMC</v>
      </c>
      <c r="D2227" s="9"/>
      <c r="E2227" s="15" t="s">
        <v>16</v>
      </c>
    </row>
    <row r="2228" spans="1:5" ht="15.75" x14ac:dyDescent="0.25">
      <c r="A2228" s="5">
        <v>2</v>
      </c>
      <c r="B2228" s="6" t="str">
        <f>"CONJUNTO PNEUMATICO BOMBA PILOTADA"</f>
        <v>CONJUNTO PNEUMATICO BOMBA PILOTADA</v>
      </c>
      <c r="C2228" s="6" t="str">
        <f>"64910345SMC"</f>
        <v>64910345SMC</v>
      </c>
      <c r="D2228" s="10"/>
      <c r="E2228" s="15" t="s">
        <v>16</v>
      </c>
    </row>
    <row r="2229" spans="1:5" ht="15.75" x14ac:dyDescent="0.25">
      <c r="A2229" s="4">
        <v>1</v>
      </c>
      <c r="B2229" t="str">
        <f>"CONJUNTO PNEUMÁTICO VISCOSÍMETRO INKSPEC"</f>
        <v>CONJUNTO PNEUMÁTICO VISCOSÍMETRO INKSPEC</v>
      </c>
      <c r="C2229" t="str">
        <f>"64910545V01SMC"</f>
        <v>64910545V01SMC</v>
      </c>
      <c r="D2229" s="9"/>
      <c r="E2229" s="15" t="s">
        <v>16</v>
      </c>
    </row>
    <row r="2230" spans="1:5" ht="15.75" x14ac:dyDescent="0.25">
      <c r="A2230" s="5">
        <v>2</v>
      </c>
      <c r="B2230" s="6" t="str">
        <f>"PNEUMATICO DA BALANÇA SMC"</f>
        <v>PNEUMATICO DA BALANÇA SMC</v>
      </c>
      <c r="C2230" s="6" t="str">
        <f>"64910746SMC"</f>
        <v>64910746SMC</v>
      </c>
      <c r="D2230" s="10"/>
      <c r="E2230" s="15" t="s">
        <v>16</v>
      </c>
    </row>
    <row r="2231" spans="1:5" ht="15.75" x14ac:dyDescent="0.25">
      <c r="A2231" s="4">
        <v>2</v>
      </c>
      <c r="B2231" t="str">
        <f>"CONJUNTO PNEUMATICO ACIONAMENTO POWER CLEAN"</f>
        <v>CONJUNTO PNEUMATICO ACIONAMENTO POWER CLEAN</v>
      </c>
      <c r="C2231" t="str">
        <f>"64910952SMC"</f>
        <v>64910952SMC</v>
      </c>
      <c r="D2231" s="9"/>
      <c r="E2231" s="15" t="s">
        <v>16</v>
      </c>
    </row>
    <row r="2232" spans="1:5" ht="15.75" x14ac:dyDescent="0.25">
      <c r="A2232" s="5">
        <v>2</v>
      </c>
      <c r="B2232" s="6" t="str">
        <f>"CONJUNTO  ACIONAMENTO COM ATUADOR PNEUMATICO"</f>
        <v>CONJUNTO  ACIONAMENTO COM ATUADOR PNEUMATICO</v>
      </c>
      <c r="C2232" s="6" t="str">
        <f>"64910953SMC"</f>
        <v>64910953SMC</v>
      </c>
      <c r="D2232" s="10"/>
      <c r="E2232" s="15" t="s">
        <v>16</v>
      </c>
    </row>
    <row r="2233" spans="1:5" ht="15.75" x14ac:dyDescent="0.25">
      <c r="A2233" s="4">
        <v>1</v>
      </c>
      <c r="B2233" t="str">
        <f>"PNEUMATICO ABERTURA SECAGEM FINAL SMC"</f>
        <v>PNEUMATICO ABERTURA SECAGEM FINAL SMC</v>
      </c>
      <c r="C2233" t="str">
        <f>"64911037SMC"</f>
        <v>64911037SMC</v>
      </c>
      <c r="D2233" s="9"/>
      <c r="E2233" s="15" t="s">
        <v>16</v>
      </c>
    </row>
    <row r="2234" spans="1:5" ht="15.75" x14ac:dyDescent="0.25">
      <c r="A2234" s="5">
        <v>1</v>
      </c>
      <c r="B2234" s="6" t="str">
        <f>"PNEUMATICO MANDRIL SMC"</f>
        <v>PNEUMATICO MANDRIL SMC</v>
      </c>
      <c r="C2234" s="6" t="str">
        <f>"64911038SMC"</f>
        <v>64911038SMC</v>
      </c>
      <c r="D2234" s="10"/>
      <c r="E2234" s="15" t="s">
        <v>16</v>
      </c>
    </row>
    <row r="2235" spans="1:5" ht="15.75" x14ac:dyDescent="0.25">
      <c r="A2235" s="4">
        <v>1</v>
      </c>
      <c r="B2235" t="str">
        <f>"PNEUMATICO DOCTOR BLADE SMC"</f>
        <v>PNEUMATICO DOCTOR BLADE SMC</v>
      </c>
      <c r="C2235" t="str">
        <f>"64911039SMC"</f>
        <v>64911039SMC</v>
      </c>
      <c r="D2235" s="9"/>
      <c r="E2235" s="15" t="s">
        <v>16</v>
      </c>
    </row>
    <row r="2236" spans="1:5" ht="15.75" x14ac:dyDescent="0.25">
      <c r="A2236" s="5">
        <v>1</v>
      </c>
      <c r="B2236" s="6" t="str">
        <f>"ESQUEMA PNEUMÁTICO COMPACTADOR SIMPLES SMC"</f>
        <v>ESQUEMA PNEUMÁTICO COMPACTADOR SIMPLES SMC</v>
      </c>
      <c r="C2236" s="6" t="str">
        <f>"64911045SMC"</f>
        <v>64911045SMC</v>
      </c>
      <c r="D2236" s="10"/>
      <c r="E2236" s="15" t="s">
        <v>16</v>
      </c>
    </row>
    <row r="2237" spans="1:5" ht="15.75" x14ac:dyDescent="0.25">
      <c r="A2237" s="4">
        <v>40</v>
      </c>
      <c r="B2237" t="str">
        <f>"PLACA INDIVIDUAL PARA MANIFOLD - SÉRIE VVQC2000-1A-D-C6"</f>
        <v>PLACA INDIVIDUAL PARA MANIFOLD - SÉRIE VVQC2000-1A-D-C6</v>
      </c>
      <c r="C2237" t="str">
        <f>"64920002"</f>
        <v>64920002</v>
      </c>
      <c r="D2237" s="9"/>
      <c r="E2237" s="15" t="s">
        <v>16</v>
      </c>
    </row>
    <row r="2238" spans="1:5" ht="15.75" x14ac:dyDescent="0.25">
      <c r="A2238" s="5">
        <v>4</v>
      </c>
      <c r="B2238" s="6" t="str">
        <f>"PLACA LATERAL PARA MANIFOLD VVQC2000-2A-1-C10"</f>
        <v>PLACA LATERAL PARA MANIFOLD VVQC2000-2A-1-C10</v>
      </c>
      <c r="C2238" s="6" t="str">
        <f>"64920003"</f>
        <v>64920003</v>
      </c>
      <c r="D2238" s="10"/>
      <c r="E2238" s="15" t="s">
        <v>16</v>
      </c>
    </row>
    <row r="2239" spans="1:5" ht="15.75" x14ac:dyDescent="0.25">
      <c r="A2239" s="4">
        <v>4</v>
      </c>
      <c r="B2239" t="str">
        <f>"PLACA LATERAL PARA MANIFOLD VVQC2000-3A-1-C10"</f>
        <v>PLACA LATERAL PARA MANIFOLD VVQC2000-3A-1-C10</v>
      </c>
      <c r="C2239" t="str">
        <f>"64920004"</f>
        <v>64920004</v>
      </c>
      <c r="D2239" s="9"/>
      <c r="E2239" s="15" t="s">
        <v>16</v>
      </c>
    </row>
    <row r="2240" spans="1:5" ht="15.75" x14ac:dyDescent="0.25">
      <c r="A2240" s="5">
        <v>16</v>
      </c>
      <c r="B2240" s="6" t="str">
        <f>"PLACA INDIVIDUAL PARA MANIFOLD VVQC2000-1A-D-C8"</f>
        <v>PLACA INDIVIDUAL PARA MANIFOLD VVQC2000-1A-D-C8</v>
      </c>
      <c r="C2240" s="6" t="str">
        <f>"64920005"</f>
        <v>64920005</v>
      </c>
      <c r="D2240" s="10"/>
      <c r="E2240" s="15" t="s">
        <v>16</v>
      </c>
    </row>
    <row r="2241" spans="1:5" ht="15.75" x14ac:dyDescent="0.25">
      <c r="A2241" s="4">
        <v>4</v>
      </c>
      <c r="B2241" t="str">
        <f>"PLUG ROSCA 1/4 """</f>
        <v>PLUG ROSCA 1/4 "</v>
      </c>
      <c r="C2241" t="str">
        <f>"64940001"</f>
        <v>64940001</v>
      </c>
      <c r="D2241" s="9"/>
      <c r="E2241" s="15" t="s">
        <v>16</v>
      </c>
    </row>
    <row r="2242" spans="1:5" ht="15.75" x14ac:dyDescent="0.25">
      <c r="A2242" s="5">
        <v>1</v>
      </c>
      <c r="B2242" s="6" t="str">
        <f>"PLUG ROSCA 1/8 """</f>
        <v>PLUG ROSCA 1/8 "</v>
      </c>
      <c r="C2242" s="6" t="str">
        <f>"64940002"</f>
        <v>64940002</v>
      </c>
      <c r="D2242" s="10"/>
      <c r="E2242" s="15" t="s">
        <v>16</v>
      </c>
    </row>
    <row r="2243" spans="1:5" ht="15.75" x14ac:dyDescent="0.25">
      <c r="A2243" s="4">
        <v>1</v>
      </c>
      <c r="B2243" t="str">
        <f>"PRESSOSTATO 1 A 10 BAR PRESSURE"</f>
        <v>PRESSOSTATO 1 A 10 BAR PRESSURE</v>
      </c>
      <c r="C2243" t="str">
        <f>"65090001"</f>
        <v>65090001</v>
      </c>
      <c r="D2243" s="9"/>
      <c r="E2243" s="15" t="s">
        <v>16</v>
      </c>
    </row>
    <row r="2244" spans="1:5" ht="15.75" x14ac:dyDescent="0.25">
      <c r="A2244" s="5">
        <v>1</v>
      </c>
      <c r="B2244" s="6" t="str">
        <f>"PRESSOSTATO 1 A 10 BAR AR E AGUA"</f>
        <v>PRESSOSTATO 1 A 10 BAR AR E AGUA</v>
      </c>
      <c r="C2244" s="6" t="str">
        <f>"65090005"</f>
        <v>65090005</v>
      </c>
      <c r="D2244" s="10"/>
      <c r="E2244" s="15" t="s">
        <v>16</v>
      </c>
    </row>
    <row r="2245" spans="1:5" ht="15.75" x14ac:dyDescent="0.25">
      <c r="A2245" s="4">
        <v>4</v>
      </c>
      <c r="B2245" t="str">
        <f>"PRESSOSTATO DIFERENCIAL AJUSTAVEL 18 a 3000 Pa"</f>
        <v>PRESSOSTATO DIFERENCIAL AJUSTAVEL 18 a 3000 Pa</v>
      </c>
      <c r="C2245" t="str">
        <f>"65090506"</f>
        <v>65090506</v>
      </c>
      <c r="D2245" s="9"/>
      <c r="E2245" s="15" t="s">
        <v>16</v>
      </c>
    </row>
    <row r="2246" spans="1:5" ht="15.75" x14ac:dyDescent="0.25">
      <c r="A2246" s="5">
        <v>2</v>
      </c>
      <c r="B2246" s="6" t="str">
        <f>"REGULADOR ESCAPE C/ SILENCIADOR. 1/4"</f>
        <v>REGULADOR ESCAPE C/ SILENCIADOR. 1/4</v>
      </c>
      <c r="C2246" s="6" t="str">
        <f>"65460001"</f>
        <v>65460001</v>
      </c>
      <c r="D2246" s="10"/>
      <c r="E2246" s="15" t="s">
        <v>16</v>
      </c>
    </row>
    <row r="2247" spans="1:5" ht="15.75" x14ac:dyDescent="0.25">
      <c r="A2247" s="4">
        <v>2</v>
      </c>
      <c r="B2247" t="str">
        <f>"REGULADOR ESCAPE C/ SILENCIADOR. 1/8"</f>
        <v>REGULADOR ESCAPE C/ SILENCIADOR. 1/8</v>
      </c>
      <c r="C2247" t="str">
        <f>"65460002"</f>
        <v>65460002</v>
      </c>
      <c r="D2247" s="9"/>
      <c r="E2247" s="15" t="s">
        <v>16</v>
      </c>
    </row>
    <row r="2248" spans="1:5" ht="15.75" x14ac:dyDescent="0.25">
      <c r="A2248" s="5">
        <v>12</v>
      </c>
      <c r="B2248" s="6" t="str">
        <f>"REGULADOR DE PRESSÃO 1/4  10 BAR (LINHA)"</f>
        <v>REGULADOR DE PRESSÃO 1/4  10 BAR (LINHA)</v>
      </c>
      <c r="C2248" s="6" t="str">
        <f>"65460003"</f>
        <v>65460003</v>
      </c>
      <c r="D2248" s="10"/>
      <c r="E2248" s="15" t="s">
        <v>16</v>
      </c>
    </row>
    <row r="2249" spans="1:5" ht="15.75" x14ac:dyDescent="0.25">
      <c r="A2249" s="4">
        <v>25</v>
      </c>
      <c r="B2249" t="str">
        <f>"REGULADOR DE PRESSÃO 1/4 10 BAR (PAINEL)"</f>
        <v>REGULADOR DE PRESSÃO 1/4 10 BAR (PAINEL)</v>
      </c>
      <c r="C2249" t="str">
        <f>"65460004"</f>
        <v>65460004</v>
      </c>
      <c r="D2249" s="9"/>
      <c r="E2249" s="15" t="s">
        <v>16</v>
      </c>
    </row>
    <row r="2250" spans="1:5" ht="15.75" x14ac:dyDescent="0.25">
      <c r="A2250" s="5">
        <v>10</v>
      </c>
      <c r="B2250" s="6" t="str">
        <f>"REGULADOR DE VELO. TIPO BANJO 1/4 "" T  Ø 6"</f>
        <v>REGULADOR DE VELO. TIPO BANJO 1/4 " T  Ø 6</v>
      </c>
      <c r="C2250" s="6" t="str">
        <f>"65460005"</f>
        <v>65460005</v>
      </c>
      <c r="D2250" s="10"/>
      <c r="E2250" s="15" t="s">
        <v>16</v>
      </c>
    </row>
    <row r="2251" spans="1:5" ht="15.75" x14ac:dyDescent="0.25">
      <c r="A2251" s="4">
        <v>2</v>
      </c>
      <c r="B2251" t="str">
        <f>"REGULADOR DE PRESSÃO 1/2  10 BAR (LINHA) AR40-F04BG-B"</f>
        <v>REGULADOR DE PRESSÃO 1/2  10 BAR (LINHA) AR40-F04BG-B</v>
      </c>
      <c r="C2251" t="str">
        <f>"65460011"</f>
        <v>65460011</v>
      </c>
      <c r="D2251" s="9"/>
      <c r="E2251" s="15" t="s">
        <v>16</v>
      </c>
    </row>
    <row r="2252" spans="1:5" ht="15.75" x14ac:dyDescent="0.25">
      <c r="A2252" s="5">
        <v>4</v>
      </c>
      <c r="B2252" s="6" t="str">
        <f>"REGULADOR DE VELO. TIPO BANJO 3/8"" T  Ø 6"</f>
        <v>REGULADOR DE VELO. TIPO BANJO 3/8" T  Ø 6</v>
      </c>
      <c r="C2252" s="6" t="str">
        <f>"65460025"</f>
        <v>65460025</v>
      </c>
      <c r="D2252" s="10"/>
      <c r="E2252" s="15" t="s">
        <v>16</v>
      </c>
    </row>
    <row r="2253" spans="1:5" ht="15.75" x14ac:dyDescent="0.25">
      <c r="A2253" s="4">
        <v>42</v>
      </c>
      <c r="B2253" t="str">
        <f>"REGULADOR DE VELO. TIPO BANJO 1/8 "" T - ø 6"</f>
        <v>REGULADOR DE VELO. TIPO BANJO 1/8 " T - ø 6</v>
      </c>
      <c r="C2253" t="str">
        <f>"65460036"</f>
        <v>65460036</v>
      </c>
      <c r="D2253" s="9"/>
      <c r="E2253" s="15" t="s">
        <v>16</v>
      </c>
    </row>
    <row r="2254" spans="1:5" ht="15.75" x14ac:dyDescent="0.25">
      <c r="A2254" s="5">
        <v>3</v>
      </c>
      <c r="B2254" s="6" t="str">
        <f>"SENSOR MAGNÉTICO COM CABO  DMR - 5 - 250V"</f>
        <v>SENSOR MAGNÉTICO COM CABO  DMR - 5 - 250V</v>
      </c>
      <c r="C2254" s="6" t="str">
        <f>"65700005"</f>
        <v>65700005</v>
      </c>
      <c r="D2254" s="10"/>
      <c r="E2254" s="15" t="s">
        <v>16</v>
      </c>
    </row>
    <row r="2255" spans="1:5" ht="15.75" x14ac:dyDescent="0.25">
      <c r="A2255" s="4">
        <v>5</v>
      </c>
      <c r="B2255" t="str">
        <f>"SENSOR MAGNETICO D-M9PSAPC"</f>
        <v>SENSOR MAGNETICO D-M9PSAPC</v>
      </c>
      <c r="C2255" t="str">
        <f>"65700011"</f>
        <v>65700011</v>
      </c>
      <c r="D2255" s="9"/>
      <c r="E2255" s="15" t="s">
        <v>16</v>
      </c>
    </row>
    <row r="2256" spans="1:5" ht="15.75" x14ac:dyDescent="0.25">
      <c r="A2256" s="5">
        <v>4</v>
      </c>
      <c r="B2256" s="6" t="str">
        <f>"SILENCIADOR COMPACTO 1/4"" AN20-C10"</f>
        <v>SILENCIADOR COMPACTO 1/4" AN20-C10</v>
      </c>
      <c r="C2256" s="6" t="str">
        <f>"65720001"</f>
        <v>65720001</v>
      </c>
      <c r="D2256" s="10"/>
      <c r="E2256" s="15" t="s">
        <v>16</v>
      </c>
    </row>
    <row r="2257" spans="1:5" ht="15.75" x14ac:dyDescent="0.25">
      <c r="A2257" s="4">
        <v>3</v>
      </c>
      <c r="B2257" t="str">
        <f>"SUPORTE PARA SENSOR DMR"</f>
        <v>SUPORTE PARA SENSOR DMR</v>
      </c>
      <c r="C2257" t="str">
        <f>"65860001"</f>
        <v>65860001</v>
      </c>
      <c r="D2257" s="9"/>
      <c r="E2257" s="15" t="s">
        <v>16</v>
      </c>
    </row>
    <row r="2258" spans="1:5" ht="15.75" x14ac:dyDescent="0.25">
      <c r="A2258" s="5">
        <v>1</v>
      </c>
      <c r="B2258" s="6" t="str">
        <f>"SUPORTE PARA FILTRO COALESCENTE SERIE AFM"</f>
        <v>SUPORTE PARA FILTRO COALESCENTE SERIE AFM</v>
      </c>
      <c r="C2258" s="6" t="str">
        <f>"65860010"</f>
        <v>65860010</v>
      </c>
      <c r="D2258" s="10"/>
      <c r="E2258" s="15" t="s">
        <v>16</v>
      </c>
    </row>
    <row r="2259" spans="1:5" ht="15.75" x14ac:dyDescent="0.25">
      <c r="A2259" s="4">
        <v>4</v>
      </c>
      <c r="B2259" t="str">
        <f>"ELETRO VÁLV.5/2  SOL.SOL.1/8"" C/BOBINA"</f>
        <v>ELETRO VÁLV.5/2  SOL.SOL.1/8" C/BOBINA</v>
      </c>
      <c r="C2259" t="str">
        <f>"66292511"</f>
        <v>66292511</v>
      </c>
      <c r="D2259" s="9"/>
      <c r="E2259" s="15" t="s">
        <v>16</v>
      </c>
    </row>
    <row r="2260" spans="1:5" ht="15.75" x14ac:dyDescent="0.25">
      <c r="A2260" s="5">
        <v>13</v>
      </c>
      <c r="B2260" s="6" t="str">
        <f>"ELETRO VÁLV.5/2  SOL.MOL.1/8"" C/BOBINA 24VCC"</f>
        <v>ELETRO VÁLV.5/2  SOL.MOL.1/8" C/BOBINA 24VCC</v>
      </c>
      <c r="C2260" s="6" t="str">
        <f>"66292512"</f>
        <v>66292512</v>
      </c>
      <c r="D2260" s="10"/>
      <c r="E2260" s="15" t="s">
        <v>16</v>
      </c>
    </row>
    <row r="2261" spans="1:5" ht="15.75" x14ac:dyDescent="0.25">
      <c r="A2261" s="4">
        <v>1</v>
      </c>
      <c r="B2261" t="str">
        <f>"ELETRO VÁLV.5/2  SOL.MOL.1/8"" C/BOBINA 220VCC"</f>
        <v>ELETRO VÁLV.5/2  SOL.MOL.1/8" C/BOBINA 220VCC</v>
      </c>
      <c r="C2261" t="str">
        <f>"66292513"</f>
        <v>66292513</v>
      </c>
      <c r="D2261" s="9"/>
      <c r="E2261" s="15" t="s">
        <v>16</v>
      </c>
    </row>
    <row r="2262" spans="1:5" ht="15.75" x14ac:dyDescent="0.25">
      <c r="A2262" s="5">
        <v>1</v>
      </c>
      <c r="B2262" s="6" t="str">
        <f>"ELETRO VÁLV. 3/2 - 1/4""  N.A- SOL-MOL 220 VCA"</f>
        <v>ELETRO VÁLV. 3/2 - 1/4"  N.A- SOL-MOL 220 VCA</v>
      </c>
      <c r="C2262" s="6" t="str">
        <f>"66292525"</f>
        <v>66292525</v>
      </c>
      <c r="D2262" s="10"/>
      <c r="E2262" s="15" t="s">
        <v>16</v>
      </c>
    </row>
    <row r="2263" spans="1:5" ht="15.75" x14ac:dyDescent="0.25">
      <c r="A2263" s="4">
        <v>850</v>
      </c>
      <c r="B2263" t="str">
        <f>"TUBO AZUL POLIURETANO 06 EXT."</f>
        <v>TUBO AZUL POLIURETANO 06 EXT.</v>
      </c>
      <c r="C2263" t="str">
        <f>"66310002"</f>
        <v>66310002</v>
      </c>
      <c r="D2263" s="9"/>
      <c r="E2263" s="15" t="s">
        <v>16</v>
      </c>
    </row>
    <row r="2264" spans="1:5" ht="15.75" x14ac:dyDescent="0.25">
      <c r="A2264" s="5">
        <v>100</v>
      </c>
      <c r="B2264" s="6" t="str">
        <f>"TUBO POLIURETANO 10 EXT."</f>
        <v>TUBO POLIURETANO 10 EXT.</v>
      </c>
      <c r="C2264" s="6" t="str">
        <f>"66310003"</f>
        <v>66310003</v>
      </c>
      <c r="D2264" s="10"/>
      <c r="E2264" s="15" t="s">
        <v>16</v>
      </c>
    </row>
    <row r="2265" spans="1:5" ht="15.75" x14ac:dyDescent="0.25">
      <c r="A2265" s="4">
        <v>40</v>
      </c>
      <c r="B2265" t="str">
        <f>"TUBO POLIURETANO 12 EXT."</f>
        <v>TUBO POLIURETANO 12 EXT.</v>
      </c>
      <c r="C2265" t="str">
        <f>"66310004"</f>
        <v>66310004</v>
      </c>
      <c r="D2265" s="9"/>
      <c r="E2265" s="15" t="s">
        <v>16</v>
      </c>
    </row>
    <row r="2266" spans="1:5" ht="15.75" x14ac:dyDescent="0.25">
      <c r="A2266" s="5">
        <v>40</v>
      </c>
      <c r="B2266" s="6" t="str">
        <f>"TUBO POLIURETANO 8  AZUL  EXT."</f>
        <v>TUBO POLIURETANO 8  AZUL  EXT.</v>
      </c>
      <c r="C2266" s="6" t="str">
        <f>"66310005"</f>
        <v>66310005</v>
      </c>
      <c r="D2266" s="10"/>
      <c r="E2266" s="15" t="s">
        <v>16</v>
      </c>
    </row>
    <row r="2267" spans="1:5" ht="15.75" x14ac:dyDescent="0.25">
      <c r="A2267" s="4">
        <v>20</v>
      </c>
      <c r="B2267" t="str">
        <f>"TUBO POLIURETANO 16 EXT."</f>
        <v>TUBO POLIURETANO 16 EXT.</v>
      </c>
      <c r="C2267" t="str">
        <f>"66310008"</f>
        <v>66310008</v>
      </c>
      <c r="D2267" s="9"/>
      <c r="E2267" s="15" t="s">
        <v>16</v>
      </c>
    </row>
    <row r="2268" spans="1:5" ht="15.75" x14ac:dyDescent="0.25">
      <c r="A2268" s="5">
        <v>50</v>
      </c>
      <c r="B2268" s="6" t="str">
        <f>"TUBO PRETO DE POLIURETANO  06 EXT."</f>
        <v>TUBO PRETO DE POLIURETANO  06 EXT.</v>
      </c>
      <c r="C2268" s="6" t="str">
        <f>"66310010"</f>
        <v>66310010</v>
      </c>
      <c r="D2268" s="10"/>
      <c r="E2268" s="15" t="s">
        <v>16</v>
      </c>
    </row>
    <row r="2269" spans="1:5" ht="15.75" x14ac:dyDescent="0.25">
      <c r="A2269" s="4">
        <v>50</v>
      </c>
      <c r="B2269" t="str">
        <f>"TUBO BRANCO DE POLIURETANO  06 EXT."</f>
        <v>TUBO BRANCO DE POLIURETANO  06 EXT.</v>
      </c>
      <c r="C2269" t="str">
        <f>"66310011"</f>
        <v>66310011</v>
      </c>
      <c r="D2269" s="9"/>
      <c r="E2269" s="15" t="s">
        <v>16</v>
      </c>
    </row>
    <row r="2270" spans="1:5" ht="15.75" x14ac:dyDescent="0.25">
      <c r="A2270" s="5">
        <v>350</v>
      </c>
      <c r="B2270" s="6" t="str">
        <f>"TUBO VERMELHO DE POLIURETANO  06 EXT."</f>
        <v>TUBO VERMELHO DE POLIURETANO  06 EXT.</v>
      </c>
      <c r="C2270" s="6" t="str">
        <f>"66310012"</f>
        <v>66310012</v>
      </c>
      <c r="D2270" s="10"/>
      <c r="E2270" s="15" t="s">
        <v>16</v>
      </c>
    </row>
    <row r="2271" spans="1:5" ht="15.75" x14ac:dyDescent="0.25">
      <c r="A2271" s="4">
        <v>50</v>
      </c>
      <c r="B2271" t="str">
        <f>"TUBO AMARELO DE POLIURETANO  06 EXT."</f>
        <v>TUBO AMARELO DE POLIURETANO  06 EXT.</v>
      </c>
      <c r="C2271" t="str">
        <f>"66310013"</f>
        <v>66310013</v>
      </c>
      <c r="D2271" s="9"/>
      <c r="E2271" s="15" t="s">
        <v>16</v>
      </c>
    </row>
    <row r="2272" spans="1:5" ht="15.75" x14ac:dyDescent="0.25">
      <c r="A2272" s="5">
        <v>50</v>
      </c>
      <c r="B2272" s="6" t="str">
        <f>"TUBO VERDE DE POLIURETANO  06 EXT."</f>
        <v>TUBO VERDE DE POLIURETANO  06 EXT.</v>
      </c>
      <c r="C2272" s="6" t="str">
        <f>"66310014"</f>
        <v>66310014</v>
      </c>
      <c r="D2272" s="10"/>
      <c r="E2272" s="15" t="s">
        <v>16</v>
      </c>
    </row>
    <row r="2273" spans="1:5" ht="15.75" x14ac:dyDescent="0.25">
      <c r="A2273" s="4">
        <v>50</v>
      </c>
      <c r="B2273" t="str">
        <f>"TUBO TRANSPARENTE DE POLIURETANO  06 EXT."</f>
        <v>TUBO TRANSPARENTE DE POLIURETANO  06 EXT.</v>
      </c>
      <c r="C2273" t="str">
        <f>"66310015"</f>
        <v>66310015</v>
      </c>
      <c r="D2273" s="9"/>
      <c r="E2273" s="15" t="s">
        <v>16</v>
      </c>
    </row>
    <row r="2274" spans="1:5" ht="15.75" x14ac:dyDescent="0.25">
      <c r="A2274" s="5">
        <v>50</v>
      </c>
      <c r="B2274" s="6" t="str">
        <f>"TUBO LARANJA DE POLIURETANO  06 EXT."</f>
        <v>TUBO LARANJA DE POLIURETANO  06 EXT.</v>
      </c>
      <c r="C2274" s="6" t="str">
        <f>"66310016"</f>
        <v>66310016</v>
      </c>
      <c r="D2274" s="10"/>
      <c r="E2274" s="15" t="s">
        <v>16</v>
      </c>
    </row>
    <row r="2275" spans="1:5" ht="15.75" x14ac:dyDescent="0.25">
      <c r="A2275" s="4">
        <v>40</v>
      </c>
      <c r="B2275" t="str">
        <f>"TUBO VERDE DE POLIURETANO  08 EXT."</f>
        <v>TUBO VERDE DE POLIURETANO  08 EXT.</v>
      </c>
      <c r="C2275" t="str">
        <f>"66310017"</f>
        <v>66310017</v>
      </c>
      <c r="D2275" s="9"/>
      <c r="E2275" s="15" t="s">
        <v>16</v>
      </c>
    </row>
    <row r="2276" spans="1:5" ht="15.75" x14ac:dyDescent="0.25">
      <c r="A2276" s="5">
        <v>40</v>
      </c>
      <c r="B2276" s="6" t="str">
        <f>"TUBO POLIURETANO VERMELHO 8 EXT."</f>
        <v>TUBO POLIURETANO VERMELHO 8 EXT.</v>
      </c>
      <c r="C2276" s="6" t="str">
        <f>"66310035"</f>
        <v>66310035</v>
      </c>
      <c r="D2276" s="10"/>
      <c r="E2276" s="15" t="s">
        <v>16</v>
      </c>
    </row>
    <row r="2277" spans="1:5" ht="15.75" x14ac:dyDescent="0.25">
      <c r="A2277" s="4">
        <v>40</v>
      </c>
      <c r="B2277" t="str">
        <f>"TUBO POLIURETANO AMARELO 8 EXT."</f>
        <v>TUBO POLIURETANO AMARELO 8 EXT.</v>
      </c>
      <c r="C2277" t="str">
        <f>"66310036"</f>
        <v>66310036</v>
      </c>
      <c r="D2277" s="9"/>
      <c r="E2277" s="15" t="s">
        <v>16</v>
      </c>
    </row>
    <row r="2278" spans="1:5" ht="15.75" x14ac:dyDescent="0.25">
      <c r="A2278" s="5">
        <v>50</v>
      </c>
      <c r="B2278" s="6" t="str">
        <f>"TUBO PRATA DE POLIURETANO  06 EXT."</f>
        <v>TUBO PRATA DE POLIURETANO  06 EXT.</v>
      </c>
      <c r="C2278" s="6" t="str">
        <f>"66310040"</f>
        <v>66310040</v>
      </c>
      <c r="D2278" s="10"/>
      <c r="E2278" s="15" t="s">
        <v>16</v>
      </c>
    </row>
    <row r="2279" spans="1:5" ht="15.75" x14ac:dyDescent="0.25">
      <c r="A2279" s="4">
        <v>50</v>
      </c>
      <c r="B2279" t="str">
        <f>"TUBO MARROM DE POLIURETANO  06 EXT."</f>
        <v>TUBO MARROM DE POLIURETANO  06 EXT.</v>
      </c>
      <c r="C2279" t="str">
        <f>"66310041"</f>
        <v>66310041</v>
      </c>
      <c r="D2279" s="9"/>
      <c r="E2279" s="15" t="s">
        <v>16</v>
      </c>
    </row>
    <row r="2280" spans="1:5" ht="15.75" x14ac:dyDescent="0.25">
      <c r="A2280" s="5">
        <v>50</v>
      </c>
      <c r="B2280" s="6" t="str">
        <f>"TUBO AZUL OPACO DE POLIURETANO  06 EXT."</f>
        <v>TUBO AZUL OPACO DE POLIURETANO  06 EXT.</v>
      </c>
      <c r="C2280" s="6" t="str">
        <f>"66310042"</f>
        <v>66310042</v>
      </c>
      <c r="D2280" s="10"/>
      <c r="E2280" s="15" t="s">
        <v>16</v>
      </c>
    </row>
    <row r="2281" spans="1:5" ht="15.75" x14ac:dyDescent="0.25">
      <c r="A2281" s="4">
        <v>60</v>
      </c>
      <c r="B2281" t="str">
        <f>"TUBO POLIURETANO 03 EXT."</f>
        <v>TUBO POLIURETANO 03 EXT.</v>
      </c>
      <c r="C2281" t="str">
        <f>"66310043"</f>
        <v>66310043</v>
      </c>
      <c r="D2281" s="9"/>
      <c r="E2281" s="15" t="s">
        <v>16</v>
      </c>
    </row>
    <row r="2282" spans="1:5" ht="15.75" x14ac:dyDescent="0.25">
      <c r="A2282" s="5">
        <v>1</v>
      </c>
      <c r="B2282" s="6" t="str">
        <f>"UNIDADE FILTRO REGULADOR QBS4  1/2""  10 BAR"</f>
        <v>UNIDADE FILTRO REGULADOR QBS4  1/2"  10 BAR</v>
      </c>
      <c r="C2282" s="6" t="str">
        <f>"66360002"</f>
        <v>66360002</v>
      </c>
      <c r="D2282" s="10"/>
      <c r="E2282" s="15" t="s">
        <v>16</v>
      </c>
    </row>
    <row r="2283" spans="1:5" ht="15.75" x14ac:dyDescent="0.25">
      <c r="A2283" s="4">
        <v>1</v>
      </c>
      <c r="B2283" t="str">
        <f>"UNIDADE FILTRO REGULADOR  3/4""  10 BAR"</f>
        <v>UNIDADE FILTRO REGULADOR  3/4"  10 BAR</v>
      </c>
      <c r="C2283" t="str">
        <f>"66360005"</f>
        <v>66360005</v>
      </c>
      <c r="D2283" s="9"/>
      <c r="E2283" s="15" t="s">
        <v>16</v>
      </c>
    </row>
    <row r="2284" spans="1:5" ht="15.75" x14ac:dyDescent="0.25">
      <c r="A2284" s="5">
        <v>2</v>
      </c>
      <c r="B2284" s="6" t="str">
        <f>"PLACA LATERAL PARA UNIDADE SI"</f>
        <v>PLACA LATERAL PARA UNIDADE SI</v>
      </c>
      <c r="C2284" s="6" t="str">
        <f>"66360053"</f>
        <v>66360053</v>
      </c>
      <c r="D2284" s="10"/>
      <c r="E2284" s="15" t="s">
        <v>16</v>
      </c>
    </row>
    <row r="2285" spans="1:5" ht="15.75" x14ac:dyDescent="0.25">
      <c r="A2285" s="4">
        <v>2</v>
      </c>
      <c r="B2285" t="str">
        <f>"INTERCONEXÃO PARA REDES PROFINET"</f>
        <v>INTERCONEXÃO PARA REDES PROFINET</v>
      </c>
      <c r="C2285" t="str">
        <f>"66360054"</f>
        <v>66360054</v>
      </c>
      <c r="D2285" s="9"/>
      <c r="E2285" s="15" t="s">
        <v>16</v>
      </c>
    </row>
    <row r="2286" spans="1:5" ht="15.75" x14ac:dyDescent="0.25">
      <c r="A2286" s="5">
        <v>2</v>
      </c>
      <c r="B2286" s="6" t="str">
        <f>"MODULO DE ENTRADA DIGITAL"</f>
        <v>MODULO DE ENTRADA DIGITAL</v>
      </c>
      <c r="C2286" s="6" t="str">
        <f>"66360055"</f>
        <v>66360055</v>
      </c>
      <c r="D2286" s="10"/>
      <c r="E2286" s="15" t="s">
        <v>16</v>
      </c>
    </row>
    <row r="2287" spans="1:5" ht="15.75" x14ac:dyDescent="0.25">
      <c r="A2287" s="4">
        <v>2</v>
      </c>
      <c r="B2287" t="str">
        <f>"UNIDADE DE INTERFACE SERIAL EX260-SPN1"</f>
        <v>UNIDADE DE INTERFACE SERIAL EX260-SPN1</v>
      </c>
      <c r="C2287" t="str">
        <f>"66360056"</f>
        <v>66360056</v>
      </c>
      <c r="D2287" s="9"/>
      <c r="E2287" s="15" t="s">
        <v>16</v>
      </c>
    </row>
    <row r="2288" spans="1:5" ht="15.75" x14ac:dyDescent="0.25">
      <c r="A2288" s="5">
        <v>1</v>
      </c>
      <c r="B2288" s="6" t="str">
        <f>"VÁLVULA. RETENÇÃO LINHA 6 PO"</f>
        <v>VÁLVULA. RETENÇÃO LINHA 6 PO</v>
      </c>
      <c r="C2288" s="6" t="str">
        <f>"66390001"</f>
        <v>66390001</v>
      </c>
      <c r="D2288" s="10"/>
      <c r="E2288" s="15" t="s">
        <v>16</v>
      </c>
    </row>
    <row r="2289" spans="1:5" ht="15.75" x14ac:dyDescent="0.25">
      <c r="A2289" s="4">
        <v>2</v>
      </c>
      <c r="B2289" t="str">
        <f>"VÁLVULA.DE ESCAPE RÁPIDO 1/4"</f>
        <v>VÁLVULA.DE ESCAPE RÁPIDO 1/4</v>
      </c>
      <c r="C2289" t="str">
        <f>"66390002"</f>
        <v>66390002</v>
      </c>
      <c r="D2289" s="9"/>
      <c r="E2289" s="15" t="s">
        <v>16</v>
      </c>
    </row>
    <row r="2290" spans="1:5" ht="15.75" x14ac:dyDescent="0.25">
      <c r="A2290" s="5">
        <v>2</v>
      </c>
      <c r="B2290" s="6" t="str">
        <f>"VÁLVULA 3/2- G 1/4 ACIONAMENTO BOTAO SELETOR 2 POSICOES"</f>
        <v>VÁLVULA 3/2- G 1/4 ACIONAMENTO BOTAO SELETOR 2 POSICOES</v>
      </c>
      <c r="C2290" s="6" t="str">
        <f>"66390055"</f>
        <v>66390055</v>
      </c>
      <c r="D2290" s="10"/>
      <c r="E2290" s="15" t="s">
        <v>16</v>
      </c>
    </row>
    <row r="2291" spans="1:5" ht="15.75" x14ac:dyDescent="0.25">
      <c r="A2291" s="4">
        <v>8</v>
      </c>
      <c r="B2291" t="str">
        <f>"VALVULA ACIONAMENTO MANUAL 5/2 -3/8"""</f>
        <v>VALVULA ACIONAMENTO MANUAL 5/2 -3/8"</v>
      </c>
      <c r="C2291" t="str">
        <f>"66390060"</f>
        <v>66390060</v>
      </c>
      <c r="D2291" s="9"/>
      <c r="E2291" s="15" t="s">
        <v>16</v>
      </c>
    </row>
    <row r="2292" spans="1:5" ht="15.75" x14ac:dyDescent="0.25">
      <c r="A2292" s="5">
        <v>2</v>
      </c>
      <c r="B2292" s="6" t="str">
        <f>"VALVULA PROPORCIONAL PNEUMATICA"</f>
        <v>VALVULA PROPORCIONAL PNEUMATICA</v>
      </c>
      <c r="C2292" s="6" t="str">
        <f>"66390501"</f>
        <v>66390501</v>
      </c>
      <c r="D2292" s="10"/>
      <c r="E2292" s="15" t="s">
        <v>16</v>
      </c>
    </row>
    <row r="2293" spans="1:5" ht="15.75" x14ac:dyDescent="0.25">
      <c r="A2293" s="4">
        <v>40</v>
      </c>
      <c r="B2293" t="str">
        <f>"VALVULA DIRECIONAL 5/2 VIAS SOL- MOLA SÉRIE VQC (P/ILHA)"</f>
        <v>VALVULA DIRECIONAL 5/2 VIAS SOL- MOLA SÉRIE VQC (P/ILHA)</v>
      </c>
      <c r="C2293" t="str">
        <f>"66390550"</f>
        <v>66390550</v>
      </c>
      <c r="D2293" s="9"/>
      <c r="E2293" s="15" t="s">
        <v>16</v>
      </c>
    </row>
    <row r="2294" spans="1:5" ht="15.75" x14ac:dyDescent="0.25">
      <c r="A2294" s="5">
        <v>16</v>
      </c>
      <c r="B2294" s="6" t="str">
        <f>"VALVULA DIRECIONAL 5/3 VIAS SOL- SOL. SÉRIE VQC 2400N-51"</f>
        <v>VALVULA DIRECIONAL 5/3 VIAS SOL- SOL. SÉRIE VQC 2400N-51</v>
      </c>
      <c r="C2294" s="6" t="str">
        <f>"66390552"</f>
        <v>66390552</v>
      </c>
      <c r="D2294" s="10"/>
      <c r="E2294" s="15" t="s">
        <v>16</v>
      </c>
    </row>
    <row r="2295" spans="1:5" x14ac:dyDescent="0.25">
      <c r="A2295" s="4">
        <v>2</v>
      </c>
      <c r="B2295" t="str">
        <f>"BASE DE APOIO - 25,4 x 210 x 700 mm"</f>
        <v>BASE DE APOIO - 25,4 x 210 x 700 mm</v>
      </c>
      <c r="C2295" t="str">
        <f>"71480326"</f>
        <v>71480326</v>
      </c>
      <c r="D2295" s="9">
        <v>326</v>
      </c>
      <c r="E2295" s="16" t="s">
        <v>17</v>
      </c>
    </row>
    <row r="2296" spans="1:5" x14ac:dyDescent="0.25">
      <c r="A2296" s="5">
        <v>4</v>
      </c>
      <c r="B2296" s="6" t="str">
        <f>"BASE DE APOIO - 25,4  X 290 X 1300 mm"</f>
        <v>BASE DE APOIO - 25,4  X 290 X 1300 mm</v>
      </c>
      <c r="C2296" s="6" t="str">
        <f>"71480327"</f>
        <v>71480327</v>
      </c>
      <c r="D2296" s="10">
        <v>327</v>
      </c>
      <c r="E2296" s="16" t="s">
        <v>17</v>
      </c>
    </row>
    <row r="2297" spans="1:5" x14ac:dyDescent="0.25">
      <c r="A2297" s="4">
        <v>16</v>
      </c>
      <c r="B2297" t="str">
        <f>"BASE DO PINO DA ROLDANA - 25,4 x 101 x 192"</f>
        <v>BASE DO PINO DA ROLDANA - 25,4 x 101 x 192</v>
      </c>
      <c r="C2297" t="str">
        <f>"71481904"</f>
        <v>71481904</v>
      </c>
      <c r="D2297" s="9">
        <v>1904</v>
      </c>
      <c r="E2297" s="16" t="s">
        <v>17</v>
      </c>
    </row>
    <row r="2298" spans="1:5" x14ac:dyDescent="0.25">
      <c r="A2298" s="5">
        <v>4</v>
      </c>
      <c r="B2298" s="6" t="str">
        <f>"BASE  1/2"" x 210 x 340"</f>
        <v>BASE  1/2" x 210 x 340</v>
      </c>
      <c r="C2298" s="6" t="str">
        <f>"71481944"</f>
        <v>71481944</v>
      </c>
      <c r="D2298" s="10">
        <v>1944</v>
      </c>
      <c r="E2298" s="16" t="s">
        <v>17</v>
      </c>
    </row>
    <row r="2299" spans="1:5" x14ac:dyDescent="0.25">
      <c r="A2299" s="4">
        <v>16</v>
      </c>
      <c r="B2299" t="str">
        <f>"BASE 31,75 x 92 x 86"</f>
        <v>BASE 31,75 x 92 x 86</v>
      </c>
      <c r="C2299" t="str">
        <f>"71485933"</f>
        <v>71485933</v>
      </c>
      <c r="D2299" s="9">
        <v>5933</v>
      </c>
      <c r="E2299" s="16" t="s">
        <v>17</v>
      </c>
    </row>
    <row r="2300" spans="1:5" x14ac:dyDescent="0.25">
      <c r="A2300" s="5">
        <v>1</v>
      </c>
      <c r="B2300" s="6" t="str">
        <f>"BASE DO MOTOR 6037AX"</f>
        <v>BASE DO MOTOR 6037AX</v>
      </c>
      <c r="C2300" s="6" t="str">
        <f>"71486037"</f>
        <v>71486037</v>
      </c>
      <c r="D2300" s="10">
        <v>6037</v>
      </c>
      <c r="E2300" s="16" t="s">
        <v>17</v>
      </c>
    </row>
    <row r="2301" spans="1:5" x14ac:dyDescent="0.25">
      <c r="A2301" s="4">
        <v>4</v>
      </c>
      <c r="B2301" t="str">
        <f>"BASE - 8051AX"</f>
        <v>BASE - 8051AX</v>
      </c>
      <c r="C2301" t="str">
        <f>"71488051"</f>
        <v>71488051</v>
      </c>
      <c r="D2301" s="9">
        <v>8051</v>
      </c>
      <c r="E2301" s="16" t="s">
        <v>17</v>
      </c>
    </row>
    <row r="2302" spans="1:5" x14ac:dyDescent="0.25">
      <c r="A2302" s="5">
        <v>4</v>
      </c>
      <c r="B2302" s="6" t="str">
        <f>"BASE - 8052AX"</f>
        <v>BASE - 8052AX</v>
      </c>
      <c r="C2302" s="6" t="str">
        <f>"71488052"</f>
        <v>71488052</v>
      </c>
      <c r="D2302" s="10">
        <v>8052</v>
      </c>
      <c r="E2302" s="16" t="s">
        <v>17</v>
      </c>
    </row>
    <row r="2303" spans="1:5" x14ac:dyDescent="0.25">
      <c r="A2303" s="4">
        <v>4</v>
      </c>
      <c r="B2303" t="str">
        <f>"BASE - 8071AX"</f>
        <v>BASE - 8071AX</v>
      </c>
      <c r="C2303" t="str">
        <f>"71488071"</f>
        <v>71488071</v>
      </c>
      <c r="D2303" s="9">
        <v>8071</v>
      </c>
      <c r="E2303" s="16" t="s">
        <v>17</v>
      </c>
    </row>
    <row r="2304" spans="1:5" x14ac:dyDescent="0.25">
      <c r="A2304" s="5">
        <v>4</v>
      </c>
      <c r="B2304" s="6" t="str">
        <f>"BASE - 8072AX"</f>
        <v>BASE - 8072AX</v>
      </c>
      <c r="C2304" s="6" t="str">
        <f>"71488072"</f>
        <v>71488072</v>
      </c>
      <c r="D2304" s="10">
        <v>8072</v>
      </c>
      <c r="E2304" s="16" t="s">
        <v>17</v>
      </c>
    </row>
    <row r="2305" spans="1:5" x14ac:dyDescent="0.25">
      <c r="A2305" s="4">
        <v>32</v>
      </c>
      <c r="B2305" t="str">
        <f>"BASE - 8096AX"</f>
        <v>BASE - 8096AX</v>
      </c>
      <c r="C2305" t="str">
        <f>"71488096"</f>
        <v>71488096</v>
      </c>
      <c r="D2305" s="9">
        <v>8096</v>
      </c>
      <c r="E2305" s="16" t="s">
        <v>17</v>
      </c>
    </row>
    <row r="2306" spans="1:5" x14ac:dyDescent="0.25">
      <c r="A2306" s="5">
        <v>2</v>
      </c>
      <c r="B2306" s="6" t="str">
        <f>"BATENTE - 1962AX - 76 x 106 x 126"</f>
        <v>BATENTE - 1962AX - 76 x 106 x 126</v>
      </c>
      <c r="C2306" s="6" t="str">
        <f>"71501962"</f>
        <v>71501962</v>
      </c>
      <c r="D2306" s="10">
        <v>1962</v>
      </c>
      <c r="E2306" s="16" t="s">
        <v>17</v>
      </c>
    </row>
    <row r="2307" spans="1:5" x14ac:dyDescent="0.25">
      <c r="A2307" s="4">
        <v>4</v>
      </c>
      <c r="B2307" t="str">
        <f>"BATENTE - 8112AX"</f>
        <v>BATENTE - 8112AX</v>
      </c>
      <c r="C2307" t="str">
        <f>"71508112"</f>
        <v>71508112</v>
      </c>
      <c r="D2307" s="9">
        <v>8112</v>
      </c>
      <c r="E2307" s="16" t="s">
        <v>17</v>
      </c>
    </row>
    <row r="2308" spans="1:5" x14ac:dyDescent="0.25">
      <c r="A2308" s="5">
        <v>2</v>
      </c>
      <c r="B2308" s="6" t="str">
        <f>"BRAÇO  1.1/4"" x 81 x 186"</f>
        <v>BRAÇO  1.1/4" x 81 x 186</v>
      </c>
      <c r="C2308" s="6" t="str">
        <f>"71640950"</f>
        <v>71640950</v>
      </c>
      <c r="D2308" s="10">
        <v>950</v>
      </c>
      <c r="E2308" s="16" t="s">
        <v>17</v>
      </c>
    </row>
    <row r="2309" spans="1:5" x14ac:dyDescent="0.25">
      <c r="A2309" s="4">
        <v>2</v>
      </c>
      <c r="B2309" t="str">
        <f>"BRAÇO  7/8"" x 83,5 x 132"</f>
        <v>BRAÇO  7/8" x 83,5 x 132</v>
      </c>
      <c r="C2309" t="str">
        <f>"71641846"</f>
        <v>71641846</v>
      </c>
      <c r="D2309" s="9">
        <v>1846</v>
      </c>
      <c r="E2309" s="16" t="s">
        <v>17</v>
      </c>
    </row>
    <row r="2310" spans="1:5" x14ac:dyDescent="0.25">
      <c r="A2310" s="5">
        <v>2</v>
      </c>
      <c r="B2310" s="6" t="str">
        <f>"BRAÇO  5/8"" x 158 x 798"</f>
        <v>BRAÇO  5/8" x 158 x 798</v>
      </c>
      <c r="C2310" s="6" t="str">
        <f>"71641860"</f>
        <v>71641860</v>
      </c>
      <c r="D2310" s="10">
        <v>1860</v>
      </c>
      <c r="E2310" s="16" t="s">
        <v>17</v>
      </c>
    </row>
    <row r="2311" spans="1:5" x14ac:dyDescent="0.25">
      <c r="A2311" s="4">
        <v>4</v>
      </c>
      <c r="B2311" t="str">
        <f>"BRAÇO DO ELEVADOR -  31,75 x 198 x 738 mm"</f>
        <v>BRAÇO DO ELEVADOR -  31,75 x 198 x 738 mm</v>
      </c>
      <c r="C2311" t="str">
        <f>"71641918"</f>
        <v>71641918</v>
      </c>
      <c r="D2311" s="9">
        <v>1918</v>
      </c>
      <c r="E2311" s="16" t="s">
        <v>17</v>
      </c>
    </row>
    <row r="2312" spans="1:5" x14ac:dyDescent="0.25">
      <c r="A2312" s="5">
        <v>2</v>
      </c>
      <c r="B2312" s="6" t="str">
        <f>"BRAÇO DO CORTE  5/8"" x 115 x 870"</f>
        <v>BRAÇO DO CORTE  5/8" x 115 x 870</v>
      </c>
      <c r="C2312" s="6" t="str">
        <f>"71641972"</f>
        <v>71641972</v>
      </c>
      <c r="D2312" s="10">
        <v>1972</v>
      </c>
      <c r="E2312" s="16" t="s">
        <v>17</v>
      </c>
    </row>
    <row r="2313" spans="1:5" x14ac:dyDescent="0.25">
      <c r="A2313" s="4">
        <v>2</v>
      </c>
      <c r="B2313" t="str">
        <f>"BRAÇO DA FACA DE CORTE  7/8"" x 108 x 274"</f>
        <v>BRAÇO DA FACA DE CORTE  7/8" x 108 x 274</v>
      </c>
      <c r="C2313" t="str">
        <f>"71645107"</f>
        <v>71645107</v>
      </c>
      <c r="D2313" s="9">
        <v>5107</v>
      </c>
      <c r="E2313" s="16" t="s">
        <v>17</v>
      </c>
    </row>
    <row r="2314" spans="1:5" x14ac:dyDescent="0.25">
      <c r="A2314" s="5">
        <v>1</v>
      </c>
      <c r="B2314" s="6" t="str">
        <f>"BRAÇO FACA DE CORTE  7/8"" x 106 x 325"</f>
        <v>BRAÇO FACA DE CORTE  7/8" x 106 x 325</v>
      </c>
      <c r="C2314" s="6" t="str">
        <f>"71645109"</f>
        <v>71645109</v>
      </c>
      <c r="D2314" s="10">
        <v>5109</v>
      </c>
      <c r="E2314" s="16" t="s">
        <v>17</v>
      </c>
    </row>
    <row r="2315" spans="1:5" x14ac:dyDescent="0.25">
      <c r="A2315" s="4">
        <v>4</v>
      </c>
      <c r="B2315" t="str">
        <f>"BRAÇO DA BALANÇA - 6270AX"</f>
        <v>BRAÇO DA BALANÇA - 6270AX</v>
      </c>
      <c r="C2315" t="str">
        <f>"71646270"</f>
        <v>71646270</v>
      </c>
      <c r="D2315" s="9">
        <v>6270</v>
      </c>
      <c r="E2315" s="16" t="s">
        <v>17</v>
      </c>
    </row>
    <row r="2316" spans="1:5" x14ac:dyDescent="0.25">
      <c r="A2316" s="5">
        <v>8</v>
      </c>
      <c r="B2316" s="6" t="str">
        <f>"CAMISA - 5961AX"</f>
        <v>CAMISA - 5961AX</v>
      </c>
      <c r="C2316" s="6" t="str">
        <f>"71885961"</f>
        <v>71885961</v>
      </c>
      <c r="D2316" s="10">
        <v>5961</v>
      </c>
      <c r="E2316" s="16" t="s">
        <v>17</v>
      </c>
    </row>
    <row r="2317" spans="1:5" x14ac:dyDescent="0.25">
      <c r="A2317" s="4">
        <v>4</v>
      </c>
      <c r="B2317" t="str">
        <f>"CANTONEIRA - 2462AX"</f>
        <v>CANTONEIRA - 2462AX</v>
      </c>
      <c r="C2317" t="str">
        <f>"71922462"</f>
        <v>71922462</v>
      </c>
      <c r="D2317" s="9">
        <v>2462</v>
      </c>
      <c r="E2317" s="16" t="s">
        <v>17</v>
      </c>
    </row>
    <row r="2318" spans="1:5" x14ac:dyDescent="0.25">
      <c r="A2318" s="5">
        <v>1</v>
      </c>
      <c r="B2318" s="6" t="str">
        <f>"CHAPA DO ROTOR (CORTE LASER) - 3971"</f>
        <v>CHAPA DO ROTOR (CORTE LASER) - 3971</v>
      </c>
      <c r="C2318" s="6" t="str">
        <f>"72023971AX"</f>
        <v>72023971AX</v>
      </c>
      <c r="D2318" s="10">
        <v>3971</v>
      </c>
      <c r="E2318" s="16" t="s">
        <v>17</v>
      </c>
    </row>
    <row r="2319" spans="1:5" x14ac:dyDescent="0.25">
      <c r="A2319" s="4">
        <v>1</v>
      </c>
      <c r="B2319" t="str">
        <f>"CHAPA DO CONE  (REPUXADO) - 3971"</f>
        <v>CHAPA DO CONE  (REPUXADO) - 3971</v>
      </c>
      <c r="C2319" t="str">
        <f>"72023971AX1"</f>
        <v>72023971AX1</v>
      </c>
      <c r="D2319" s="9">
        <v>3971</v>
      </c>
      <c r="E2319" s="16" t="s">
        <v>17</v>
      </c>
    </row>
    <row r="2320" spans="1:5" x14ac:dyDescent="0.25">
      <c r="A2320" s="5">
        <v>7</v>
      </c>
      <c r="B2320" s="6" t="str">
        <f>"CHAPA DA PA  (CORTE LASER) - 3971"</f>
        <v>CHAPA DA PA  (CORTE LASER) - 3971</v>
      </c>
      <c r="C2320" s="6" t="str">
        <f>"72023971AX2"</f>
        <v>72023971AX2</v>
      </c>
      <c r="D2320" s="10">
        <v>3971</v>
      </c>
      <c r="E2320" s="16" t="s">
        <v>17</v>
      </c>
    </row>
    <row r="2321" spans="1:5" x14ac:dyDescent="0.25">
      <c r="A2321" s="4">
        <v>3</v>
      </c>
      <c r="B2321" t="str">
        <f>"CHAPA DO ROTOR (CORTE LASER) - 3994"</f>
        <v>CHAPA DO ROTOR (CORTE LASER) - 3994</v>
      </c>
      <c r="C2321" t="str">
        <f>"72023994AX"</f>
        <v>72023994AX</v>
      </c>
      <c r="D2321" s="9">
        <v>3994</v>
      </c>
      <c r="E2321" s="16" t="s">
        <v>17</v>
      </c>
    </row>
    <row r="2322" spans="1:5" x14ac:dyDescent="0.25">
      <c r="A2322" s="5">
        <v>3</v>
      </c>
      <c r="B2322" s="6" t="str">
        <f>"CHAPA DO CONE (REPUXADO)"</f>
        <v>CHAPA DO CONE (REPUXADO)</v>
      </c>
      <c r="C2322" s="6" t="str">
        <f>"72023994AX1"</f>
        <v>72023994AX1</v>
      </c>
      <c r="D2322" s="10">
        <v>3994</v>
      </c>
      <c r="E2322" s="16" t="s">
        <v>17</v>
      </c>
    </row>
    <row r="2323" spans="1:5" x14ac:dyDescent="0.25">
      <c r="A2323" s="4">
        <v>21</v>
      </c>
      <c r="B2323" t="str">
        <f>"CHAPA DA PA (CORTE LASER)"</f>
        <v>CHAPA DA PA (CORTE LASER)</v>
      </c>
      <c r="C2323" t="str">
        <f>"72023994AX2"</f>
        <v>72023994AX2</v>
      </c>
      <c r="D2323" s="9">
        <v>3994</v>
      </c>
      <c r="E2323" s="16" t="s">
        <v>17</v>
      </c>
    </row>
    <row r="2324" spans="1:5" x14ac:dyDescent="0.25">
      <c r="A2324" s="5">
        <v>4</v>
      </c>
      <c r="B2324" s="6" t="str">
        <f>"CUBO  DO ROTOR -  3974AX  - 76 x  D186"</f>
        <v>CUBO  DO ROTOR -  3974AX  - 76 x  D186</v>
      </c>
      <c r="C2324" s="6" t="str">
        <f>"72563974"</f>
        <v>72563974</v>
      </c>
      <c r="D2324" s="10">
        <v>3974</v>
      </c>
      <c r="E2324" s="16" t="s">
        <v>17</v>
      </c>
    </row>
    <row r="2325" spans="1:5" x14ac:dyDescent="0.25">
      <c r="A2325" s="4">
        <v>2</v>
      </c>
      <c r="B2325" t="str">
        <f>"DISCO DA ENGRENAGEM - 50 x D1150 mm"</f>
        <v>DISCO DA ENGRENAGEM - 50 x D1150 mm</v>
      </c>
      <c r="C2325" t="str">
        <f>"72721937"</f>
        <v>72721937</v>
      </c>
      <c r="D2325" s="9">
        <v>1937</v>
      </c>
      <c r="E2325" s="16" t="s">
        <v>17</v>
      </c>
    </row>
    <row r="2326" spans="1:5" x14ac:dyDescent="0.25">
      <c r="A2326" s="5">
        <v>2</v>
      </c>
      <c r="B2326" s="6" t="str">
        <f>"DISCO - 50 x D1127  mm"</f>
        <v>DISCO - 50 x D1127  mm</v>
      </c>
      <c r="C2326" s="6" t="str">
        <f>"72721938"</f>
        <v>72721938</v>
      </c>
      <c r="D2326" s="10">
        <v>1938</v>
      </c>
      <c r="E2326" s="16" t="s">
        <v>17</v>
      </c>
    </row>
    <row r="2327" spans="1:5" x14ac:dyDescent="0.25">
      <c r="A2327" s="4">
        <v>2</v>
      </c>
      <c r="B2327" t="str">
        <f>"DOBRADIÇA - 8243AX"</f>
        <v>DOBRADIÇA - 8243AX</v>
      </c>
      <c r="C2327" t="str">
        <f>"72808243"</f>
        <v>72808243</v>
      </c>
      <c r="D2327" s="9">
        <v>8243</v>
      </c>
      <c r="E2327" s="16" t="s">
        <v>17</v>
      </c>
    </row>
    <row r="2328" spans="1:5" x14ac:dyDescent="0.25">
      <c r="A2328" s="5">
        <v>3.0535999999999999</v>
      </c>
      <c r="B2328" s="6" t="str">
        <f>"FLANGE HELICOIDAL BARRA AÇO RET 3/16 X 11/4"" (5000) DIAM 450"</f>
        <v>FLANGE HELICOIDAL BARRA AÇO RET 3/16 X 11/4" (5000) DIAM 450</v>
      </c>
      <c r="C2328" s="6" t="str">
        <f>"73420890"</f>
        <v>73420890</v>
      </c>
      <c r="D2328" s="10">
        <v>890</v>
      </c>
      <c r="E2328" s="16" t="s">
        <v>17</v>
      </c>
    </row>
    <row r="2329" spans="1:5" x14ac:dyDescent="0.25">
      <c r="A2329" s="4">
        <v>12</v>
      </c>
      <c r="B2329" t="str">
        <f>"FLANGE- 0911AX - 25,4  x  D146  x  D79"</f>
        <v>FLANGE- 0911AX - 25,4  x  D146  x  D79</v>
      </c>
      <c r="C2329" t="str">
        <f>"73420911"</f>
        <v>73420911</v>
      </c>
      <c r="D2329" s="9">
        <v>911</v>
      </c>
      <c r="E2329" s="16" t="s">
        <v>17</v>
      </c>
    </row>
    <row r="2330" spans="1:5" x14ac:dyDescent="0.25">
      <c r="A2330" s="5">
        <v>5.476</v>
      </c>
      <c r="B2330" s="6" t="str">
        <f>"FLANGE HELICOIDAL BARRA AÇO RET 3/16 X 11/4"" (6000) DIAM 400"</f>
        <v>FLANGE HELICOIDAL BARRA AÇO RET 3/16 X 11/4" (6000) DIAM 400</v>
      </c>
      <c r="C2330" s="6" t="str">
        <f>"73421321"</f>
        <v>73421321</v>
      </c>
      <c r="D2330" s="10">
        <v>1321</v>
      </c>
      <c r="E2330" s="16" t="s">
        <v>17</v>
      </c>
    </row>
    <row r="2331" spans="1:5" x14ac:dyDescent="0.25">
      <c r="A2331" s="4">
        <v>20</v>
      </c>
      <c r="B2331" t="str">
        <f>"FLANGE - 25,4 X diam. 150 X diam. 85 mm"</f>
        <v>FLANGE - 25,4 X diam. 150 X diam. 85 mm</v>
      </c>
      <c r="C2331" t="str">
        <f>"73421987"</f>
        <v>73421987</v>
      </c>
      <c r="D2331" s="9">
        <v>1987</v>
      </c>
      <c r="E2331" s="16" t="s">
        <v>17</v>
      </c>
    </row>
    <row r="2332" spans="1:5" x14ac:dyDescent="0.25">
      <c r="A2332" s="5">
        <v>4</v>
      </c>
      <c r="B2332" s="6" t="str">
        <f>"FLANGE - 19,0 x diam. 130 x diam. 58 mm"</f>
        <v>FLANGE - 19,0 x diam. 130 x diam. 58 mm</v>
      </c>
      <c r="C2332" s="6" t="str">
        <f>"73421989"</f>
        <v>73421989</v>
      </c>
      <c r="D2332" s="10">
        <v>1989</v>
      </c>
      <c r="E2332" s="16" t="s">
        <v>17</v>
      </c>
    </row>
    <row r="2333" spans="1:5" x14ac:dyDescent="0.25">
      <c r="A2333" s="4">
        <v>2</v>
      </c>
      <c r="B2333" t="str">
        <f>"FLANGE 1"" x D 75 x  D 210"</f>
        <v>FLANGE 1" x D 75 x  D 210</v>
      </c>
      <c r="C2333" t="str">
        <f>"73421997"</f>
        <v>73421997</v>
      </c>
      <c r="D2333" s="9">
        <v>1997</v>
      </c>
      <c r="E2333" s="16" t="s">
        <v>17</v>
      </c>
    </row>
    <row r="2334" spans="1:5" x14ac:dyDescent="0.25">
      <c r="A2334" s="5">
        <v>10</v>
      </c>
      <c r="B2334" s="6" t="str">
        <f>"FLANGE - 2058AX - 50 x  D296  x  D154"</f>
        <v>FLANGE - 2058AX - 50 x  D296  x  D154</v>
      </c>
      <c r="C2334" s="6" t="str">
        <f>"73422058"</f>
        <v>73422058</v>
      </c>
      <c r="D2334" s="10">
        <v>2058</v>
      </c>
      <c r="E2334" s="16" t="s">
        <v>17</v>
      </c>
    </row>
    <row r="2335" spans="1:5" x14ac:dyDescent="0.25">
      <c r="A2335" s="4">
        <v>2</v>
      </c>
      <c r="B2335" t="str">
        <f>"FLANGE - 5723"</f>
        <v>FLANGE - 5723</v>
      </c>
      <c r="C2335" t="str">
        <f>"73425723"</f>
        <v>73425723</v>
      </c>
      <c r="D2335" s="9">
        <v>5723</v>
      </c>
      <c r="E2335" s="16" t="s">
        <v>17</v>
      </c>
    </row>
    <row r="2336" spans="1:5" x14ac:dyDescent="0.25">
      <c r="A2336" s="5">
        <v>8</v>
      </c>
      <c r="B2336" s="6" t="str">
        <f>"GAVETA DO REGISTRO - 8043AX"</f>
        <v>GAVETA DO REGISTRO - 8043AX</v>
      </c>
      <c r="C2336" s="6" t="str">
        <f>"73558043"</f>
        <v>73558043</v>
      </c>
      <c r="D2336" s="10">
        <v>8043</v>
      </c>
      <c r="E2336" s="16" t="s">
        <v>17</v>
      </c>
    </row>
    <row r="2337" spans="1:5" x14ac:dyDescent="0.25">
      <c r="A2337" s="4">
        <v>2</v>
      </c>
      <c r="B2337" t="str">
        <f>"LATERAL DIREITA -  50,00 x 1185 x 1950"</f>
        <v>LATERAL DIREITA -  50,00 x 1185 x 1950</v>
      </c>
      <c r="C2337" t="str">
        <f>"73981900"</f>
        <v>73981900</v>
      </c>
      <c r="D2337" s="9">
        <v>1900</v>
      </c>
      <c r="E2337" s="16" t="s">
        <v>17</v>
      </c>
    </row>
    <row r="2338" spans="1:5" x14ac:dyDescent="0.25">
      <c r="A2338" s="5">
        <v>2</v>
      </c>
      <c r="B2338" s="6" t="str">
        <f>"LATERAL ESQUERDA - 50,00 x 1185 x 1950 mm"</f>
        <v>LATERAL ESQUERDA - 50,00 x 1185 x 1950 mm</v>
      </c>
      <c r="C2338" s="6" t="str">
        <f>"73981901"</f>
        <v>73981901</v>
      </c>
      <c r="D2338" s="10">
        <v>1901</v>
      </c>
      <c r="E2338" s="16" t="s">
        <v>17</v>
      </c>
    </row>
    <row r="2339" spans="1:5" x14ac:dyDescent="0.25">
      <c r="A2339" s="4">
        <v>2</v>
      </c>
      <c r="B2339" t="str">
        <f>"LATERAL DOS ROLETES - 25,4 x 506 x 626 mm"</f>
        <v>LATERAL DOS ROLETES - 25,4 x 506 x 626 mm</v>
      </c>
      <c r="C2339" t="str">
        <f>"73985004"</f>
        <v>73985004</v>
      </c>
      <c r="D2339" s="9">
        <v>5004</v>
      </c>
      <c r="E2339" s="16" t="s">
        <v>17</v>
      </c>
    </row>
    <row r="2340" spans="1:5" x14ac:dyDescent="0.25">
      <c r="A2340" s="5">
        <v>1</v>
      </c>
      <c r="B2340" s="6" t="str">
        <f>"LATERAL SUPERIOR MOTOR - 8010AX"</f>
        <v>LATERAL SUPERIOR MOTOR - 8010AX</v>
      </c>
      <c r="C2340" s="6" t="str">
        <f>"73988010"</f>
        <v>73988010</v>
      </c>
      <c r="D2340" s="10">
        <v>8010</v>
      </c>
      <c r="E2340" s="16" t="s">
        <v>17</v>
      </c>
    </row>
    <row r="2341" spans="1:5" x14ac:dyDescent="0.25">
      <c r="A2341" s="4">
        <v>1</v>
      </c>
      <c r="B2341" t="str">
        <f>"LATERAL INFERIOR MOTOR - 8011AX"</f>
        <v>LATERAL INFERIOR MOTOR - 8011AX</v>
      </c>
      <c r="C2341" t="str">
        <f>"73988011"</f>
        <v>73988011</v>
      </c>
      <c r="D2341" s="9">
        <v>8011</v>
      </c>
      <c r="E2341" s="16" t="s">
        <v>17</v>
      </c>
    </row>
    <row r="2342" spans="1:5" x14ac:dyDescent="0.25">
      <c r="A2342" s="5">
        <v>1</v>
      </c>
      <c r="B2342" s="6" t="str">
        <f>"LATERAL INFERIOR CAMISA - 8012AX"</f>
        <v>LATERAL INFERIOR CAMISA - 8012AX</v>
      </c>
      <c r="C2342" s="6" t="str">
        <f>"73988012"</f>
        <v>73988012</v>
      </c>
      <c r="D2342" s="10">
        <v>8012</v>
      </c>
      <c r="E2342" s="16" t="s">
        <v>17</v>
      </c>
    </row>
    <row r="2343" spans="1:5" x14ac:dyDescent="0.25">
      <c r="A2343" s="4">
        <v>1</v>
      </c>
      <c r="B2343" t="str">
        <f>"LATERAL SUPERIOR CAMISA - 8013AX"</f>
        <v>LATERAL SUPERIOR CAMISA - 8013AX</v>
      </c>
      <c r="C2343" t="str">
        <f>"73988013"</f>
        <v>73988013</v>
      </c>
      <c r="D2343" s="9">
        <v>8013</v>
      </c>
      <c r="E2343" s="16" t="s">
        <v>17</v>
      </c>
    </row>
    <row r="2344" spans="1:5" x14ac:dyDescent="0.25">
      <c r="A2344" s="5">
        <v>2</v>
      </c>
      <c r="B2344" s="6" t="str">
        <f>"LATERAL DA CALANDRA 8014AX"</f>
        <v>LATERAL DA CALANDRA 8014AX</v>
      </c>
      <c r="C2344" s="6" t="str">
        <f>"73988014"</f>
        <v>73988014</v>
      </c>
      <c r="D2344" s="10">
        <v>8014</v>
      </c>
      <c r="E2344" s="16" t="s">
        <v>17</v>
      </c>
    </row>
    <row r="2345" spans="1:5" x14ac:dyDescent="0.25">
      <c r="A2345" s="4">
        <v>8</v>
      </c>
      <c r="B2345" t="str">
        <f>"MANCAL - 0234AX"</f>
        <v>MANCAL - 0234AX</v>
      </c>
      <c r="C2345" t="str">
        <f>"74180234"</f>
        <v>74180234</v>
      </c>
      <c r="D2345" s="9">
        <v>234</v>
      </c>
      <c r="E2345" s="16" t="s">
        <v>17</v>
      </c>
    </row>
    <row r="2346" spans="1:5" x14ac:dyDescent="0.25">
      <c r="A2346" s="5">
        <v>8</v>
      </c>
      <c r="B2346" s="6" t="str">
        <f>"MANCAL - 0235"</f>
        <v>MANCAL - 0235</v>
      </c>
      <c r="C2346" s="6" t="str">
        <f>"74180235"</f>
        <v>74180235</v>
      </c>
      <c r="D2346" s="10">
        <v>235</v>
      </c>
      <c r="E2346" s="16" t="s">
        <v>17</v>
      </c>
    </row>
    <row r="2347" spans="1:5" x14ac:dyDescent="0.25">
      <c r="A2347" s="4">
        <v>2</v>
      </c>
      <c r="B2347" t="str">
        <f>"MANCAL - 2040AX"</f>
        <v>MANCAL - 2040AX</v>
      </c>
      <c r="C2347" t="str">
        <f>"74182040"</f>
        <v>74182040</v>
      </c>
      <c r="D2347" s="9">
        <v>2040</v>
      </c>
      <c r="E2347" s="16" t="s">
        <v>17</v>
      </c>
    </row>
    <row r="2348" spans="1:5" x14ac:dyDescent="0.25">
      <c r="A2348" s="5">
        <v>8</v>
      </c>
      <c r="B2348" s="6" t="str">
        <f>"MANCAL - 31,75 x 150 x 311 mm"</f>
        <v>MANCAL - 31,75 x 150 x 311 mm</v>
      </c>
      <c r="C2348" s="6" t="str">
        <f>"74182179"</f>
        <v>74182179</v>
      </c>
      <c r="D2348" s="10">
        <v>2179</v>
      </c>
      <c r="E2348" s="16" t="s">
        <v>17</v>
      </c>
    </row>
    <row r="2349" spans="1:5" x14ac:dyDescent="0.25">
      <c r="A2349" s="4">
        <v>2</v>
      </c>
      <c r="B2349" t="str">
        <f>"MANCAL - 2662AX"</f>
        <v>MANCAL - 2662AX</v>
      </c>
      <c r="C2349" t="str">
        <f>"74182662"</f>
        <v>74182662</v>
      </c>
      <c r="D2349" s="9">
        <v>2662</v>
      </c>
      <c r="E2349" s="16" t="s">
        <v>17</v>
      </c>
    </row>
    <row r="2350" spans="1:5" x14ac:dyDescent="0.25">
      <c r="A2350" s="5">
        <v>8</v>
      </c>
      <c r="B2350" s="6" t="str">
        <f>"MANCAL - 8030AX"</f>
        <v>MANCAL - 8030AX</v>
      </c>
      <c r="C2350" s="6" t="str">
        <f>"74188030"</f>
        <v>74188030</v>
      </c>
      <c r="D2350" s="10">
        <v>8030</v>
      </c>
      <c r="E2350" s="16" t="s">
        <v>17</v>
      </c>
    </row>
    <row r="2351" spans="1:5" x14ac:dyDescent="0.25">
      <c r="A2351" s="4">
        <v>16</v>
      </c>
      <c r="B2351" t="str">
        <f>"MANCAL - 8032AX"</f>
        <v>MANCAL - 8032AX</v>
      </c>
      <c r="C2351" t="str">
        <f>"74188032"</f>
        <v>74188032</v>
      </c>
      <c r="D2351" s="9">
        <v>8032</v>
      </c>
      <c r="E2351" s="16" t="s">
        <v>17</v>
      </c>
    </row>
    <row r="2352" spans="1:5" x14ac:dyDescent="0.25">
      <c r="A2352" s="5">
        <v>8</v>
      </c>
      <c r="B2352" s="6" t="str">
        <f>"MANCAL - 8034AX"</f>
        <v>MANCAL - 8034AX</v>
      </c>
      <c r="C2352" s="6" t="str">
        <f>"74188034"</f>
        <v>74188034</v>
      </c>
      <c r="D2352" s="10">
        <v>8034</v>
      </c>
      <c r="E2352" s="16" t="s">
        <v>17</v>
      </c>
    </row>
    <row r="2353" spans="1:5" x14ac:dyDescent="0.25">
      <c r="A2353" s="4">
        <v>8</v>
      </c>
      <c r="B2353" t="str">
        <f>"MANCAL - 8035AX"</f>
        <v>MANCAL - 8035AX</v>
      </c>
      <c r="C2353" t="str">
        <f>"74188035"</f>
        <v>74188035</v>
      </c>
      <c r="D2353" s="9">
        <v>8035</v>
      </c>
      <c r="E2353" s="16" t="s">
        <v>17</v>
      </c>
    </row>
    <row r="2354" spans="1:5" x14ac:dyDescent="0.25">
      <c r="A2354" s="5">
        <v>8</v>
      </c>
      <c r="B2354" s="6" t="str">
        <f>"MANCAL - 8037AX"</f>
        <v>MANCAL - 8037AX</v>
      </c>
      <c r="C2354" s="6" t="str">
        <f>"74188037"</f>
        <v>74188037</v>
      </c>
      <c r="D2354" s="10">
        <v>8037</v>
      </c>
      <c r="E2354" s="16" t="s">
        <v>17</v>
      </c>
    </row>
    <row r="2355" spans="1:5" x14ac:dyDescent="0.25">
      <c r="A2355" s="4">
        <v>8</v>
      </c>
      <c r="B2355" t="str">
        <f>"MANCAL - 8039AX"</f>
        <v>MANCAL - 8039AX</v>
      </c>
      <c r="C2355" t="str">
        <f>"74188039"</f>
        <v>74188039</v>
      </c>
      <c r="D2355" s="9">
        <v>8039</v>
      </c>
      <c r="E2355" s="16" t="s">
        <v>17</v>
      </c>
    </row>
    <row r="2356" spans="1:5" x14ac:dyDescent="0.25">
      <c r="A2356" s="5">
        <v>8</v>
      </c>
      <c r="B2356" s="6" t="str">
        <f>"MANCAL - 8047AX"</f>
        <v>MANCAL - 8047AX</v>
      </c>
      <c r="C2356" s="6" t="str">
        <f>"74188047"</f>
        <v>74188047</v>
      </c>
      <c r="D2356" s="10">
        <v>8047</v>
      </c>
      <c r="E2356" s="16" t="s">
        <v>17</v>
      </c>
    </row>
    <row r="2357" spans="1:5" x14ac:dyDescent="0.25">
      <c r="A2357" s="4">
        <v>16</v>
      </c>
      <c r="B2357" t="str">
        <f>"MANCAL - 8050AX"</f>
        <v>MANCAL - 8050AX</v>
      </c>
      <c r="C2357" t="str">
        <f>"74188050"</f>
        <v>74188050</v>
      </c>
      <c r="D2357" s="9">
        <v>8050</v>
      </c>
      <c r="E2357" s="16" t="s">
        <v>17</v>
      </c>
    </row>
    <row r="2358" spans="1:5" x14ac:dyDescent="0.25">
      <c r="A2358" s="5">
        <v>4</v>
      </c>
      <c r="B2358" s="6" t="str">
        <f>"MANCAL - 8057AX"</f>
        <v>MANCAL - 8057AX</v>
      </c>
      <c r="C2358" s="6" t="str">
        <f>"74188057"</f>
        <v>74188057</v>
      </c>
      <c r="D2358" s="10">
        <v>8057</v>
      </c>
      <c r="E2358" s="16" t="s">
        <v>17</v>
      </c>
    </row>
    <row r="2359" spans="1:5" x14ac:dyDescent="0.25">
      <c r="A2359" s="4">
        <v>4</v>
      </c>
      <c r="B2359" t="str">
        <f>"MANCAL - 8058AX"</f>
        <v>MANCAL - 8058AX</v>
      </c>
      <c r="C2359" t="str">
        <f>"74188058"</f>
        <v>74188058</v>
      </c>
      <c r="D2359" s="9">
        <v>8058</v>
      </c>
      <c r="E2359" s="16" t="s">
        <v>17</v>
      </c>
    </row>
    <row r="2360" spans="1:5" x14ac:dyDescent="0.25">
      <c r="A2360" s="5">
        <v>4</v>
      </c>
      <c r="B2360" s="6" t="str">
        <f>"MANCAL - 8067AX"</f>
        <v>MANCAL - 8067AX</v>
      </c>
      <c r="C2360" s="6" t="str">
        <f>"74188067"</f>
        <v>74188067</v>
      </c>
      <c r="D2360" s="10">
        <v>8067</v>
      </c>
      <c r="E2360" s="16" t="s">
        <v>17</v>
      </c>
    </row>
    <row r="2361" spans="1:5" x14ac:dyDescent="0.25">
      <c r="A2361" s="4">
        <v>4</v>
      </c>
      <c r="B2361" t="str">
        <f>"MANCAL - 8068AX"</f>
        <v>MANCAL - 8068AX</v>
      </c>
      <c r="C2361" t="str">
        <f>"74188068"</f>
        <v>74188068</v>
      </c>
      <c r="D2361" s="9">
        <v>8068</v>
      </c>
      <c r="E2361" s="16" t="s">
        <v>17</v>
      </c>
    </row>
    <row r="2362" spans="1:5" x14ac:dyDescent="0.25">
      <c r="A2362" s="5">
        <v>1</v>
      </c>
      <c r="B2362" s="6" t="str">
        <f>"MANCAL - 8152AX"</f>
        <v>MANCAL - 8152AX</v>
      </c>
      <c r="C2362" s="6" t="str">
        <f>"74188152"</f>
        <v>74188152</v>
      </c>
      <c r="D2362" s="10">
        <v>8152</v>
      </c>
      <c r="E2362" s="16" t="s">
        <v>17</v>
      </c>
    </row>
    <row r="2363" spans="1:5" x14ac:dyDescent="0.25">
      <c r="A2363" s="4">
        <v>1</v>
      </c>
      <c r="B2363" t="str">
        <f>"MANCAL - 8155AX"</f>
        <v>MANCAL - 8155AX</v>
      </c>
      <c r="C2363" t="str">
        <f>"74188155"</f>
        <v>74188155</v>
      </c>
      <c r="D2363" s="9">
        <v>8155</v>
      </c>
      <c r="E2363" s="16" t="s">
        <v>17</v>
      </c>
    </row>
    <row r="2364" spans="1:5" x14ac:dyDescent="0.25">
      <c r="A2364" s="5">
        <v>1</v>
      </c>
      <c r="B2364" s="6" t="str">
        <f>"PISO - 5610AX - MAQ. 1000"</f>
        <v>PISO - 5610AX - MAQ. 1000</v>
      </c>
      <c r="C2364" s="6" t="str">
        <f>"74905610BE0"</f>
        <v>74905610BE0</v>
      </c>
      <c r="D2364" s="10">
        <v>5610</v>
      </c>
      <c r="E2364" s="16" t="s">
        <v>17</v>
      </c>
    </row>
    <row r="2365" spans="1:5" x14ac:dyDescent="0.25">
      <c r="A2365" s="4">
        <v>4</v>
      </c>
      <c r="B2365" t="str">
        <f>"PLACA"</f>
        <v>PLACA</v>
      </c>
      <c r="C2365" t="str">
        <f>"74926326"</f>
        <v>74926326</v>
      </c>
      <c r="D2365" s="9">
        <v>6326</v>
      </c>
      <c r="E2365" s="16" t="s">
        <v>17</v>
      </c>
    </row>
    <row r="2366" spans="1:5" x14ac:dyDescent="0.25">
      <c r="A2366" s="5">
        <v>4</v>
      </c>
      <c r="B2366" s="6" t="str">
        <f>"PLACA"</f>
        <v>PLACA</v>
      </c>
      <c r="C2366" s="6" t="str">
        <f>"74926327"</f>
        <v>74926327</v>
      </c>
      <c r="D2366" s="10">
        <v>6327</v>
      </c>
      <c r="E2366" s="16" t="s">
        <v>17</v>
      </c>
    </row>
    <row r="2367" spans="1:5" x14ac:dyDescent="0.25">
      <c r="A2367" s="4">
        <v>4</v>
      </c>
      <c r="B2367" t="str">
        <f>"PLACA - 8186AX"</f>
        <v>PLACA - 8186AX</v>
      </c>
      <c r="C2367" t="str">
        <f>"74928186"</f>
        <v>74928186</v>
      </c>
      <c r="D2367" s="9">
        <v>8186</v>
      </c>
      <c r="E2367" s="16" t="s">
        <v>17</v>
      </c>
    </row>
    <row r="2368" spans="1:5" x14ac:dyDescent="0.25">
      <c r="A2368" s="5">
        <v>8</v>
      </c>
      <c r="B2368" s="6" t="str">
        <f>"PLACA - 8196AX"</f>
        <v>PLACA - 8196AX</v>
      </c>
      <c r="C2368" s="6" t="str">
        <f>"74928196"</f>
        <v>74928196</v>
      </c>
      <c r="D2368" s="10">
        <v>8196</v>
      </c>
      <c r="E2368" s="16" t="s">
        <v>17</v>
      </c>
    </row>
    <row r="2369" spans="1:5" x14ac:dyDescent="0.25">
      <c r="A2369" s="4">
        <v>4</v>
      </c>
      <c r="B2369" t="str">
        <f>"PLACA - 8198AX"</f>
        <v>PLACA - 8198AX</v>
      </c>
      <c r="C2369" t="str">
        <f>"74928198"</f>
        <v>74928198</v>
      </c>
      <c r="D2369" s="9">
        <v>8198</v>
      </c>
      <c r="E2369" s="16" t="s">
        <v>17</v>
      </c>
    </row>
    <row r="2370" spans="1:5" x14ac:dyDescent="0.25">
      <c r="A2370" s="5">
        <v>8</v>
      </c>
      <c r="B2370" s="6" t="str">
        <f>"POLIA SINCRONIZADORA - 1701AX - 50  x  D173  x  D40"</f>
        <v>POLIA SINCRONIZADORA - 1701AX - 50  x  D173  x  D40</v>
      </c>
      <c r="C2370" s="6" t="str">
        <f>"74961701"</f>
        <v>74961701</v>
      </c>
      <c r="D2370" s="10">
        <v>1701</v>
      </c>
      <c r="E2370" s="16" t="s">
        <v>17</v>
      </c>
    </row>
    <row r="2371" spans="1:5" x14ac:dyDescent="0.25">
      <c r="A2371" s="4">
        <v>4</v>
      </c>
      <c r="B2371" t="str">
        <f>"POLIA SINCRONIZADORA -  1942AX - 76 x  D172  x  D75"</f>
        <v>POLIA SINCRONIZADORA -  1942AX - 76 x  D172  x  D75</v>
      </c>
      <c r="C2371" t="str">
        <f>"74961942"</f>
        <v>74961942</v>
      </c>
      <c r="D2371" s="9">
        <v>1942</v>
      </c>
      <c r="E2371" s="16" t="s">
        <v>17</v>
      </c>
    </row>
    <row r="2372" spans="1:5" x14ac:dyDescent="0.25">
      <c r="A2372" s="5">
        <v>4</v>
      </c>
      <c r="B2372" s="6" t="str">
        <f>"POLIA SINCRONIZADORA -  1945AX - 76 x  D192"</f>
        <v>POLIA SINCRONIZADORA -  1945AX - 76 x  D192</v>
      </c>
      <c r="C2372" s="6" t="str">
        <f>"74961945"</f>
        <v>74961945</v>
      </c>
      <c r="D2372" s="10">
        <v>1945</v>
      </c>
      <c r="E2372" s="16" t="s">
        <v>17</v>
      </c>
    </row>
    <row r="2373" spans="1:5" x14ac:dyDescent="0.25">
      <c r="A2373" s="4">
        <v>1</v>
      </c>
      <c r="B2373" t="str">
        <f>"POLIA SINCRONIZADORA - 2042AX - 76 x  D293"</f>
        <v>POLIA SINCRONIZADORA - 2042AX - 76 x  D293</v>
      </c>
      <c r="C2373" t="str">
        <f>"74962042"</f>
        <v>74962042</v>
      </c>
      <c r="D2373" s="9">
        <v>2042</v>
      </c>
      <c r="E2373" s="16" t="s">
        <v>17</v>
      </c>
    </row>
    <row r="2374" spans="1:5" x14ac:dyDescent="0.25">
      <c r="A2374" s="5">
        <v>4</v>
      </c>
      <c r="B2374" s="6" t="str">
        <f>"POLIA SINCRONIZADORA- 2049AX - 76 x  D294  x  D75"</f>
        <v>POLIA SINCRONIZADORA- 2049AX - 76 x  D294  x  D75</v>
      </c>
      <c r="C2374" s="6" t="str">
        <f>"74962049"</f>
        <v>74962049</v>
      </c>
      <c r="D2374" s="10">
        <v>2049</v>
      </c>
      <c r="E2374" s="16" t="s">
        <v>17</v>
      </c>
    </row>
    <row r="2375" spans="1:5" x14ac:dyDescent="0.25">
      <c r="A2375" s="4">
        <v>16</v>
      </c>
      <c r="B2375" t="str">
        <f>"PORCA DE TRAVA - 8064"</f>
        <v>PORCA DE TRAVA - 8064</v>
      </c>
      <c r="C2375" t="str">
        <f>"75028064"</f>
        <v>75028064</v>
      </c>
      <c r="D2375" s="9">
        <v>8064</v>
      </c>
      <c r="E2375" s="16" t="s">
        <v>17</v>
      </c>
    </row>
    <row r="2376" spans="1:5" x14ac:dyDescent="0.25">
      <c r="A2376" s="5">
        <v>8</v>
      </c>
      <c r="B2376" s="6" t="str">
        <f>"PROTECAO DO SENSOR 2645AX"</f>
        <v>PROTECAO DO SENSOR 2645AX</v>
      </c>
      <c r="C2376" s="6" t="str">
        <f>"75122645"</f>
        <v>75122645</v>
      </c>
      <c r="D2376" s="10">
        <v>2645</v>
      </c>
      <c r="E2376" s="16" t="s">
        <v>17</v>
      </c>
    </row>
    <row r="2377" spans="1:5" x14ac:dyDescent="0.25">
      <c r="A2377" s="4">
        <v>12</v>
      </c>
      <c r="B2377" t="str">
        <f>"REFORÇO  1/2"" x 173 x 205"</f>
        <v>REFORÇO  1/2" x 173 x 205</v>
      </c>
      <c r="C2377" t="str">
        <f>"75401944"</f>
        <v>75401944</v>
      </c>
      <c r="D2377" s="9">
        <v>1944</v>
      </c>
      <c r="E2377" s="16" t="s">
        <v>17</v>
      </c>
    </row>
    <row r="2378" spans="1:5" x14ac:dyDescent="0.25">
      <c r="A2378" s="5">
        <v>8</v>
      </c>
      <c r="B2378" s="6" t="str">
        <f>"RODIZIO DE APOIO - 1906AX - 50  x  D146  x  D50"</f>
        <v>RODIZIO DE APOIO - 1906AX - 50  x  D146  x  D50</v>
      </c>
      <c r="C2378" s="6" t="str">
        <f>"75521906"</f>
        <v>75521906</v>
      </c>
      <c r="D2378" s="10">
        <v>1906</v>
      </c>
      <c r="E2378" s="16" t="s">
        <v>17</v>
      </c>
    </row>
    <row r="2379" spans="1:5" x14ac:dyDescent="0.25">
      <c r="A2379" s="4">
        <v>8</v>
      </c>
      <c r="B2379" t="str">
        <f>"RODIZIO GUIA - 1908AX - 50 x  D132  x  D50"</f>
        <v>RODIZIO GUIA - 1908AX - 50 x  D132  x  D50</v>
      </c>
      <c r="C2379" t="str">
        <f>"75521908"</f>
        <v>75521908</v>
      </c>
      <c r="D2379" s="9">
        <v>1908</v>
      </c>
      <c r="E2379" s="16" t="s">
        <v>17</v>
      </c>
    </row>
    <row r="2380" spans="1:5" x14ac:dyDescent="0.25">
      <c r="A2380" s="5">
        <v>1</v>
      </c>
      <c r="B2380" s="6" t="str">
        <f>"SUPORTE ADAPTADOR - 1892AX"</f>
        <v>SUPORTE ADAPTADOR - 1892AX</v>
      </c>
      <c r="C2380" s="6" t="str">
        <f>"75861892"</f>
        <v>75861892</v>
      </c>
      <c r="D2380" s="10">
        <v>1892</v>
      </c>
      <c r="E2380" s="16" t="s">
        <v>17</v>
      </c>
    </row>
    <row r="2381" spans="1:5" x14ac:dyDescent="0.25">
      <c r="A2381" s="4">
        <v>4</v>
      </c>
      <c r="B2381" t="str">
        <f>"SUPORTE 3/4"" x 340 x 460"</f>
        <v>SUPORTE 3/4" x 340 x 460</v>
      </c>
      <c r="C2381" t="str">
        <f>"75861944"</f>
        <v>75861944</v>
      </c>
      <c r="D2381" s="9">
        <v>1944</v>
      </c>
      <c r="E2381" s="16" t="s">
        <v>17</v>
      </c>
    </row>
    <row r="2382" spans="1:5" x14ac:dyDescent="0.25">
      <c r="A2382" s="5">
        <v>4</v>
      </c>
      <c r="B2382" s="6" t="str">
        <f>"SUPORTE DO BRAÇO DO ELEVADOR - 1950AX"</f>
        <v>SUPORTE DO BRAÇO DO ELEVADOR - 1950AX</v>
      </c>
      <c r="C2382" s="6" t="str">
        <f>"75861950"</f>
        <v>75861950</v>
      </c>
      <c r="D2382" s="10">
        <v>1950</v>
      </c>
      <c r="E2382" s="16" t="s">
        <v>17</v>
      </c>
    </row>
    <row r="2383" spans="1:5" x14ac:dyDescent="0.25">
      <c r="A2383" s="4">
        <v>4</v>
      </c>
      <c r="B2383" t="str">
        <f>"SUPORTE DO REDUTOR 50 x 164 x 226 mm"</f>
        <v>SUPORTE DO REDUTOR 50 x 164 x 226 mm</v>
      </c>
      <c r="C2383" t="str">
        <f>"75861951"</f>
        <v>75861951</v>
      </c>
      <c r="D2383" s="9">
        <v>1951</v>
      </c>
      <c r="E2383" s="16" t="s">
        <v>17</v>
      </c>
    </row>
    <row r="2384" spans="1:5" x14ac:dyDescent="0.25">
      <c r="A2384" s="5">
        <v>9</v>
      </c>
      <c r="B2384" s="6" t="str">
        <f>"SUPORTE - 1976AX"</f>
        <v>SUPORTE - 1976AX</v>
      </c>
      <c r="C2384" s="6" t="str">
        <f>"75861976"</f>
        <v>75861976</v>
      </c>
      <c r="D2384" s="10">
        <v>1976</v>
      </c>
      <c r="E2384" s="16" t="s">
        <v>17</v>
      </c>
    </row>
    <row r="2385" spans="1:5" x14ac:dyDescent="0.25">
      <c r="A2385" s="4">
        <v>1</v>
      </c>
      <c r="B2385" t="str">
        <f>"SUPORTE - 1977AX"</f>
        <v>SUPORTE - 1977AX</v>
      </c>
      <c r="C2385" t="str">
        <f>"75861977"</f>
        <v>75861977</v>
      </c>
      <c r="D2385" s="9">
        <v>1977</v>
      </c>
      <c r="E2385" s="16" t="s">
        <v>17</v>
      </c>
    </row>
    <row r="2386" spans="1:5" x14ac:dyDescent="0.25">
      <c r="A2386" s="5">
        <v>2</v>
      </c>
      <c r="B2386" s="6" t="str">
        <f>"SUPORTE - 1980"</f>
        <v>SUPORTE - 1980</v>
      </c>
      <c r="C2386" s="6" t="str">
        <f>"75861980"</f>
        <v>75861980</v>
      </c>
      <c r="D2386" s="10">
        <v>1980</v>
      </c>
      <c r="E2386" s="16" t="s">
        <v>17</v>
      </c>
    </row>
    <row r="2387" spans="1:5" x14ac:dyDescent="0.25">
      <c r="A2387" s="4">
        <v>2</v>
      </c>
      <c r="B2387" t="str">
        <f>"SUPORTE  1"" x 160 x 260"</f>
        <v>SUPORTE  1" x 160 x 260</v>
      </c>
      <c r="C2387" t="str">
        <f>"75861995"</f>
        <v>75861995</v>
      </c>
      <c r="D2387" s="9">
        <v>1995</v>
      </c>
      <c r="E2387" s="16" t="s">
        <v>17</v>
      </c>
    </row>
    <row r="2388" spans="1:5" x14ac:dyDescent="0.25">
      <c r="A2388" s="5">
        <v>16</v>
      </c>
      <c r="B2388" s="6" t="str">
        <f>"SUPORTE DO MOTOR - 2081AX"</f>
        <v>SUPORTE DO MOTOR - 2081AX</v>
      </c>
      <c r="C2388" s="6" t="str">
        <f>"75862081"</f>
        <v>75862081</v>
      </c>
      <c r="D2388" s="10">
        <v>2081</v>
      </c>
      <c r="E2388" s="16" t="s">
        <v>17</v>
      </c>
    </row>
    <row r="2389" spans="1:5" x14ac:dyDescent="0.25">
      <c r="A2389" s="4">
        <v>8</v>
      </c>
      <c r="B2389" t="str">
        <f>"SUPORTE -  1"" x 33 x 181 mm"</f>
        <v>SUPORTE -  1" x 33 x 181 mm</v>
      </c>
      <c r="C2389" t="str">
        <f>"75862259"</f>
        <v>75862259</v>
      </c>
      <c r="D2389" s="9">
        <v>2259</v>
      </c>
      <c r="E2389" s="16" t="s">
        <v>17</v>
      </c>
    </row>
    <row r="2390" spans="1:5" x14ac:dyDescent="0.25">
      <c r="A2390" s="5">
        <v>8</v>
      </c>
      <c r="B2390" s="6" t="str">
        <f>"SUPORTE DO VENTILADOR - 2337AX1"</f>
        <v>SUPORTE DO VENTILADOR - 2337AX1</v>
      </c>
      <c r="C2390" s="6" t="str">
        <f>"75862337AX1"</f>
        <v>75862337AX1</v>
      </c>
      <c r="D2390" s="10">
        <v>2337</v>
      </c>
      <c r="E2390" s="16" t="s">
        <v>17</v>
      </c>
    </row>
    <row r="2391" spans="1:5" x14ac:dyDescent="0.25">
      <c r="A2391" s="4">
        <v>8</v>
      </c>
      <c r="B2391" t="str">
        <f>"SUPORTE DO VENTILADOR - 2337AX2"</f>
        <v>SUPORTE DO VENTILADOR - 2337AX2</v>
      </c>
      <c r="C2391" t="str">
        <f>"75862337AX2"</f>
        <v>75862337AX2</v>
      </c>
      <c r="D2391" s="9">
        <v>2337</v>
      </c>
      <c r="E2391" s="16" t="s">
        <v>17</v>
      </c>
    </row>
    <row r="2392" spans="1:5" x14ac:dyDescent="0.25">
      <c r="A2392" s="5">
        <v>2</v>
      </c>
      <c r="B2392" s="6" t="str">
        <f>"SUPORTE - 2399AX"</f>
        <v>SUPORTE - 2399AX</v>
      </c>
      <c r="C2392" s="6" t="str">
        <f>"75862399"</f>
        <v>75862399</v>
      </c>
      <c r="D2392" s="10">
        <v>2399</v>
      </c>
      <c r="E2392" s="16" t="s">
        <v>17</v>
      </c>
    </row>
    <row r="2393" spans="1:5" x14ac:dyDescent="0.25">
      <c r="A2393" s="4">
        <v>3</v>
      </c>
      <c r="B2393" t="str">
        <f>"SUPORTE - 2568"</f>
        <v>SUPORTE - 2568</v>
      </c>
      <c r="C2393" t="str">
        <f>"75862568"</f>
        <v>75862568</v>
      </c>
      <c r="D2393" s="9">
        <v>2568</v>
      </c>
      <c r="E2393" s="16" t="s">
        <v>17</v>
      </c>
    </row>
    <row r="2394" spans="1:5" x14ac:dyDescent="0.25">
      <c r="A2394" s="5">
        <v>8</v>
      </c>
      <c r="B2394" s="6" t="str">
        <f>"SUPORTE DO SENSOR - 2577AX"</f>
        <v>SUPORTE DO SENSOR - 2577AX</v>
      </c>
      <c r="C2394" s="6" t="str">
        <f>"75862577"</f>
        <v>75862577</v>
      </c>
      <c r="D2394" s="10">
        <v>2577</v>
      </c>
      <c r="E2394" s="16" t="s">
        <v>17</v>
      </c>
    </row>
    <row r="2395" spans="1:5" x14ac:dyDescent="0.25">
      <c r="A2395" s="4">
        <v>1</v>
      </c>
      <c r="B2395" t="str">
        <f>"SUPORTE DO MOTOR - 19,00 x 350 x 350 mm"</f>
        <v>SUPORTE DO MOTOR - 19,00 x 350 x 350 mm</v>
      </c>
      <c r="C2395" t="str">
        <f>"75863973"</f>
        <v>75863973</v>
      </c>
      <c r="D2395" s="9">
        <v>3973</v>
      </c>
      <c r="E2395" s="16" t="s">
        <v>17</v>
      </c>
    </row>
    <row r="2396" spans="1:5" x14ac:dyDescent="0.25">
      <c r="A2396" s="5">
        <v>3</v>
      </c>
      <c r="B2396" s="6" t="str">
        <f>"SUPORTE DO MOTOR 19 x 300 x 300 mm"</f>
        <v>SUPORTE DO MOTOR 19 x 300 x 300 mm</v>
      </c>
      <c r="C2396" s="6" t="str">
        <f>"75863976"</f>
        <v>75863976</v>
      </c>
      <c r="D2396" s="10">
        <v>3976</v>
      </c>
      <c r="E2396" s="16" t="s">
        <v>17</v>
      </c>
    </row>
    <row r="2397" spans="1:5" x14ac:dyDescent="0.25">
      <c r="A2397" s="4">
        <v>2</v>
      </c>
      <c r="B2397" t="str">
        <f>"SUPORTE DO ROLETE -  25,4 X 126 X 128 mm"</f>
        <v>SUPORTE DO ROLETE -  25,4 X 126 X 128 mm</v>
      </c>
      <c r="C2397" t="str">
        <f>"75865015"</f>
        <v>75865015</v>
      </c>
      <c r="D2397" s="9">
        <v>5015</v>
      </c>
      <c r="E2397" s="16" t="s">
        <v>17</v>
      </c>
    </row>
    <row r="2398" spans="1:5" x14ac:dyDescent="0.25">
      <c r="A2398" s="5">
        <v>2</v>
      </c>
      <c r="B2398" s="6" t="str">
        <f>"SUPORTE DO PISTÃO - 1"" x 76 x 91"</f>
        <v>SUPORTE DO PISTÃO - 1" x 76 x 91</v>
      </c>
      <c r="C2398" s="6" t="str">
        <f>"75865236"</f>
        <v>75865236</v>
      </c>
      <c r="D2398" s="10">
        <v>5236</v>
      </c>
      <c r="E2398" s="16" t="s">
        <v>17</v>
      </c>
    </row>
    <row r="2399" spans="1:5" x14ac:dyDescent="0.25">
      <c r="A2399" s="4">
        <v>32</v>
      </c>
      <c r="B2399" t="str">
        <f>"SUPORTE - 5526AX"</f>
        <v>SUPORTE - 5526AX</v>
      </c>
      <c r="C2399" t="str">
        <f>"75865526"</f>
        <v>75865526</v>
      </c>
      <c r="D2399" s="9">
        <v>5526</v>
      </c>
      <c r="E2399" s="16" t="s">
        <v>17</v>
      </c>
    </row>
    <row r="2400" spans="1:5" x14ac:dyDescent="0.25">
      <c r="A2400" s="5">
        <v>2</v>
      </c>
      <c r="B2400" s="6" t="str">
        <f>"SUPORTE - 5604"</f>
        <v>SUPORTE - 5604</v>
      </c>
      <c r="C2400" s="6" t="str">
        <f>"75865604"</f>
        <v>75865604</v>
      </c>
      <c r="D2400" s="10">
        <v>5604</v>
      </c>
      <c r="E2400" s="16" t="s">
        <v>17</v>
      </c>
    </row>
    <row r="2401" spans="1:5" x14ac:dyDescent="0.25">
      <c r="A2401" s="4">
        <v>2</v>
      </c>
      <c r="B2401" t="str">
        <f>"SUPORTE - 5607"</f>
        <v>SUPORTE - 5607</v>
      </c>
      <c r="C2401" t="str">
        <f>"75865607"</f>
        <v>75865607</v>
      </c>
      <c r="D2401" s="9">
        <v>5607</v>
      </c>
      <c r="E2401" s="16" t="s">
        <v>17</v>
      </c>
    </row>
    <row r="2402" spans="1:5" x14ac:dyDescent="0.25">
      <c r="A2402" s="5">
        <v>8</v>
      </c>
      <c r="B2402" s="6" t="str">
        <f>"SUPORTE 9,5 x 170 x 150"</f>
        <v>SUPORTE 9,5 x 170 x 150</v>
      </c>
      <c r="C2402" s="6" t="str">
        <f>"75865933"</f>
        <v>75865933</v>
      </c>
      <c r="D2402" s="10">
        <v>5933</v>
      </c>
      <c r="E2402" s="16" t="s">
        <v>17</v>
      </c>
    </row>
    <row r="2403" spans="1:5" x14ac:dyDescent="0.25">
      <c r="A2403" s="4">
        <v>8</v>
      </c>
      <c r="B2403" t="str">
        <f>"SUPORTE DO REDUTOR 5962AX"</f>
        <v>SUPORTE DO REDUTOR 5962AX</v>
      </c>
      <c r="C2403" t="str">
        <f>"75865962"</f>
        <v>75865962</v>
      </c>
      <c r="D2403" s="9">
        <v>5962</v>
      </c>
      <c r="E2403" s="16" t="s">
        <v>17</v>
      </c>
    </row>
    <row r="2404" spans="1:5" x14ac:dyDescent="0.25">
      <c r="A2404" s="5">
        <v>8</v>
      </c>
      <c r="B2404" s="6" t="str">
        <f>"SUPORTE - 8044AX"</f>
        <v>SUPORTE - 8044AX</v>
      </c>
      <c r="C2404" s="6" t="str">
        <f>"75868044"</f>
        <v>75868044</v>
      </c>
      <c r="D2404" s="10">
        <v>8044</v>
      </c>
      <c r="E2404" s="16" t="s">
        <v>17</v>
      </c>
    </row>
    <row r="2405" spans="1:5" x14ac:dyDescent="0.25">
      <c r="A2405" s="4">
        <v>8</v>
      </c>
      <c r="B2405" t="str">
        <f>"SUPORTE - 8078AX"</f>
        <v>SUPORTE - 8078AX</v>
      </c>
      <c r="C2405" t="str">
        <f>"75868078"</f>
        <v>75868078</v>
      </c>
      <c r="D2405" s="9">
        <v>8078</v>
      </c>
      <c r="E2405" s="16" t="s">
        <v>17</v>
      </c>
    </row>
    <row r="2406" spans="1:5" x14ac:dyDescent="0.25">
      <c r="A2406" s="5">
        <v>8</v>
      </c>
      <c r="B2406" s="6" t="str">
        <f>"SUPORTE - 8079AX"</f>
        <v>SUPORTE - 8079AX</v>
      </c>
      <c r="C2406" s="6" t="str">
        <f>"75868079"</f>
        <v>75868079</v>
      </c>
      <c r="D2406" s="10">
        <v>8079</v>
      </c>
      <c r="E2406" s="16" t="s">
        <v>17</v>
      </c>
    </row>
    <row r="2407" spans="1:5" x14ac:dyDescent="0.25">
      <c r="A2407" s="4">
        <v>8</v>
      </c>
      <c r="B2407" t="str">
        <f>"SUPORTE - 8081AX"</f>
        <v>SUPORTE - 8081AX</v>
      </c>
      <c r="C2407" t="str">
        <f>"75868081"</f>
        <v>75868081</v>
      </c>
      <c r="D2407" s="9">
        <v>8081</v>
      </c>
      <c r="E2407" s="16" t="s">
        <v>17</v>
      </c>
    </row>
    <row r="2408" spans="1:5" x14ac:dyDescent="0.25">
      <c r="A2408" s="5">
        <v>8</v>
      </c>
      <c r="B2408" s="6" t="str">
        <f>"SUPORTE - 8083AX"</f>
        <v>SUPORTE - 8083AX</v>
      </c>
      <c r="C2408" s="6" t="str">
        <f>"75868083"</f>
        <v>75868083</v>
      </c>
      <c r="D2408" s="10">
        <v>8083</v>
      </c>
      <c r="E2408" s="16" t="s">
        <v>17</v>
      </c>
    </row>
    <row r="2409" spans="1:5" x14ac:dyDescent="0.25">
      <c r="A2409" s="4">
        <v>16</v>
      </c>
      <c r="B2409" t="str">
        <f>"SUPORTE - 8091AX"</f>
        <v>SUPORTE - 8091AX</v>
      </c>
      <c r="C2409" t="str">
        <f>"75868091"</f>
        <v>75868091</v>
      </c>
      <c r="D2409" s="9">
        <v>8091</v>
      </c>
      <c r="E2409" s="16" t="s">
        <v>17</v>
      </c>
    </row>
    <row r="2410" spans="1:5" x14ac:dyDescent="0.25">
      <c r="A2410" s="5">
        <v>6</v>
      </c>
      <c r="B2410" s="6" t="str">
        <f>"SUPORTE - 8093AX"</f>
        <v>SUPORTE - 8093AX</v>
      </c>
      <c r="C2410" s="6" t="str">
        <f>"75868093"</f>
        <v>75868093</v>
      </c>
      <c r="D2410" s="10">
        <v>8093</v>
      </c>
      <c r="E2410" s="16" t="s">
        <v>17</v>
      </c>
    </row>
    <row r="2411" spans="1:5" x14ac:dyDescent="0.25">
      <c r="A2411" s="4">
        <v>1</v>
      </c>
      <c r="B2411" t="str">
        <f>"SUPORTE - 8154AX"</f>
        <v>SUPORTE - 8154AX</v>
      </c>
      <c r="C2411" t="str">
        <f>"75868154"</f>
        <v>75868154</v>
      </c>
      <c r="D2411" s="9">
        <v>8154</v>
      </c>
      <c r="E2411" s="16" t="s">
        <v>17</v>
      </c>
    </row>
    <row r="2412" spans="1:5" x14ac:dyDescent="0.25">
      <c r="A2412" s="5">
        <v>14</v>
      </c>
      <c r="B2412" s="6" t="str">
        <f>"SUPORTE - 8206"</f>
        <v>SUPORTE - 8206</v>
      </c>
      <c r="C2412" s="6" t="str">
        <f>"75868206"</f>
        <v>75868206</v>
      </c>
      <c r="D2412" s="10">
        <v>8206</v>
      </c>
      <c r="E2412" s="16" t="s">
        <v>17</v>
      </c>
    </row>
    <row r="2413" spans="1:5" x14ac:dyDescent="0.25">
      <c r="A2413" s="4">
        <v>8</v>
      </c>
      <c r="B2413" t="str">
        <f>"TAMPA SUPERIOR"</f>
        <v>TAMPA SUPERIOR</v>
      </c>
      <c r="C2413" t="str">
        <f>"75955093V01"</f>
        <v>75955093V01</v>
      </c>
      <c r="D2413" s="9">
        <v>5093</v>
      </c>
      <c r="E2413" s="16" t="s">
        <v>17</v>
      </c>
    </row>
    <row r="2414" spans="1:5" x14ac:dyDescent="0.25">
      <c r="A2414" s="5">
        <v>8</v>
      </c>
      <c r="B2414" s="6" t="str">
        <f>"TAMPA INFERIOR"</f>
        <v>TAMPA INFERIOR</v>
      </c>
      <c r="C2414" s="6" t="str">
        <f>"75955093V02"</f>
        <v>75955093V02</v>
      </c>
      <c r="D2414" s="10">
        <v>5093</v>
      </c>
      <c r="E2414" s="16" t="s">
        <v>17</v>
      </c>
    </row>
    <row r="2415" spans="1:5" x14ac:dyDescent="0.25">
      <c r="A2415" s="4">
        <v>1</v>
      </c>
      <c r="B2415" t="str">
        <f>"TAMPA - 8153AX"</f>
        <v>TAMPA - 8153AX</v>
      </c>
      <c r="C2415" t="str">
        <f>"75958153"</f>
        <v>75958153</v>
      </c>
      <c r="D2415" s="9">
        <v>8153</v>
      </c>
      <c r="E2415" s="16" t="s">
        <v>17</v>
      </c>
    </row>
    <row r="2416" spans="1:5" x14ac:dyDescent="0.25">
      <c r="A2416" s="5">
        <v>1</v>
      </c>
      <c r="B2416" s="6" t="str">
        <f>"TAMPA - 8156AX"</f>
        <v>TAMPA - 8156AX</v>
      </c>
      <c r="C2416" s="6" t="str">
        <f>"75958156"</f>
        <v>75958156</v>
      </c>
      <c r="D2416" s="10">
        <v>8156</v>
      </c>
      <c r="E2416" s="16" t="s">
        <v>17</v>
      </c>
    </row>
    <row r="2417" spans="1:5" x14ac:dyDescent="0.25">
      <c r="A2417" s="4">
        <v>1</v>
      </c>
      <c r="B2417" t="str">
        <f>"TAMPA - 8157AX"</f>
        <v>TAMPA - 8157AX</v>
      </c>
      <c r="C2417" t="str">
        <f>"75958157"</f>
        <v>75958157</v>
      </c>
      <c r="D2417" s="9">
        <v>8157</v>
      </c>
      <c r="E2417" s="16" t="s">
        <v>17</v>
      </c>
    </row>
    <row r="2418" spans="1:5" x14ac:dyDescent="0.25">
      <c r="A2418" s="5">
        <v>8</v>
      </c>
      <c r="B2418" s="6" t="str">
        <f>"TRAVESSA - 8075AX - 1000"</f>
        <v>TRAVESSA - 8075AX - 1000</v>
      </c>
      <c r="C2418" s="6" t="str">
        <f>"76198075ZE0"</f>
        <v>76198075ZE0</v>
      </c>
      <c r="D2418" s="10">
        <v>8075</v>
      </c>
      <c r="E2418" s="16" t="s">
        <v>17</v>
      </c>
    </row>
    <row r="2419" spans="1:5" x14ac:dyDescent="0.25">
      <c r="A2419" s="4">
        <v>1</v>
      </c>
      <c r="B2419" t="str">
        <f>"CHAVE CANHÃO 10 MM"</f>
        <v>CHAVE CANHÃO 10 MM</v>
      </c>
      <c r="C2419" t="str">
        <f>"82040325"</f>
        <v>82040325</v>
      </c>
      <c r="D2419" s="9"/>
      <c r="E2419" s="13" t="s">
        <v>14</v>
      </c>
    </row>
    <row r="2420" spans="1:5" x14ac:dyDescent="0.25">
      <c r="A2420" s="5">
        <v>1</v>
      </c>
      <c r="B2420" s="6" t="str">
        <f>"FITA DUPLA FACE EASY SPLICE - 38 mm  X 50 M"</f>
        <v>FITA DUPLA FACE EASY SPLICE - 38 mm  X 50 M</v>
      </c>
      <c r="C2420" s="6" t="str">
        <f>"93380800"</f>
        <v>93380800</v>
      </c>
      <c r="D2420" s="10"/>
      <c r="E2420" s="13" t="s">
        <v>14</v>
      </c>
    </row>
    <row r="2421" spans="1:5" ht="15.75" x14ac:dyDescent="0.25">
      <c r="A2421" s="4">
        <v>1</v>
      </c>
      <c r="B2421" t="str">
        <f>"ELIPSE E 3 SERVER 3000"</f>
        <v>ELIPSE E 3 SERVER 3000</v>
      </c>
      <c r="C2421" t="str">
        <f>"SDD8301"</f>
        <v>SDD8301</v>
      </c>
      <c r="D2421" s="9"/>
      <c r="E2421" s="14" t="s">
        <v>15</v>
      </c>
    </row>
    <row r="2422" spans="1:5" ht="15.75" x14ac:dyDescent="0.25">
      <c r="A2422" s="5">
        <v>1</v>
      </c>
      <c r="B2422" s="6" t="str">
        <f>"Driver Modicon Modbus Master (ASC/RTU/TCP)"</f>
        <v>Driver Modicon Modbus Master (ASC/RTU/TCP)</v>
      </c>
      <c r="C2422" s="6" t="str">
        <f>"SDD8302"</f>
        <v>SDD8302</v>
      </c>
      <c r="D2422" s="10"/>
      <c r="E2422" s="14" t="s">
        <v>15</v>
      </c>
    </row>
    <row r="2423" spans="1:5" x14ac:dyDescent="0.25">
      <c r="C2423" t="s">
        <v>2</v>
      </c>
      <c r="D2423" s="9" t="s">
        <v>11</v>
      </c>
    </row>
  </sheetData>
  <mergeCells count="1">
    <mergeCell ref="A1:E1"/>
  </mergeCells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gotoexcel_saulo_ZETA_215_V2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Henrique Silva Figueiredo</dc:creator>
  <cp:lastModifiedBy>AST</cp:lastModifiedBy>
  <dcterms:created xsi:type="dcterms:W3CDTF">2022-07-08T14:42:08Z</dcterms:created>
  <dcterms:modified xsi:type="dcterms:W3CDTF">2022-09-28T19:31:11Z</dcterms:modified>
</cp:coreProperties>
</file>