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RYTHING" sheetId="1" r:id="rId3"/>
    <sheet state="visible" name="5 feet" sheetId="2" r:id="rId4"/>
    <sheet state="visible" name="9 feet" sheetId="3" r:id="rId5"/>
    <sheet state="visible" name="13 feet" sheetId="4" r:id="rId6"/>
    <sheet state="visible" name="16 feet" sheetId="5" r:id="rId7"/>
  </sheets>
  <definedNames/>
  <calcPr/>
</workbook>
</file>

<file path=xl/sharedStrings.xml><?xml version="1.0" encoding="utf-8"?>
<sst xmlns="http://schemas.openxmlformats.org/spreadsheetml/2006/main" count="139" uniqueCount="61">
  <si>
    <t>Gun Distance (feet)</t>
  </si>
  <si>
    <t>x axis</t>
  </si>
  <si>
    <t>y axis</t>
  </si>
  <si>
    <t>Ball 1 (m)</t>
  </si>
  <si>
    <t>Ball 2 (m)</t>
  </si>
  <si>
    <t>Ball 3 (m)</t>
  </si>
  <si>
    <t>Ball 4 (m)</t>
  </si>
  <si>
    <t>Ball 5 (m)</t>
  </si>
  <si>
    <t>Ball 6 (m)</t>
  </si>
  <si>
    <t>Ball 7 (m)</t>
  </si>
  <si>
    <t>5 feet</t>
  </si>
  <si>
    <t>9 feet</t>
  </si>
  <si>
    <t>13 feet</t>
  </si>
  <si>
    <t>16 feet</t>
  </si>
  <si>
    <t>xbar &amp; ybar</t>
  </si>
  <si>
    <t>ACCURACY</t>
  </si>
  <si>
    <t>PRECISION</t>
  </si>
  <si>
    <t>Standard Dev (S_x&amp;S_y)</t>
  </si>
  <si>
    <t>Sigma_p</t>
  </si>
  <si>
    <t>Sigma_b</t>
  </si>
  <si>
    <t>CEP</t>
  </si>
  <si>
    <t>S_xlow</t>
  </si>
  <si>
    <t>S_xhigh</t>
  </si>
  <si>
    <t>S_ylow</t>
  </si>
  <si>
    <t>S_yhigh</t>
  </si>
  <si>
    <t>err_low</t>
  </si>
  <si>
    <t>err_high</t>
  </si>
  <si>
    <t>S_xbar</t>
  </si>
  <si>
    <t>95% conf interval</t>
  </si>
  <si>
    <t>CEP_low</t>
  </si>
  <si>
    <t>CEP_high</t>
  </si>
  <si>
    <t>diameter of barrel</t>
  </si>
  <si>
    <t>0.038 m</t>
  </si>
  <si>
    <t>distance of barrel to center of camera</t>
  </si>
  <si>
    <t>0.064  m</t>
  </si>
  <si>
    <t>distance of center of barrel to center of camera</t>
  </si>
  <si>
    <t>0.083 m</t>
  </si>
  <si>
    <t xml:space="preserve">k </t>
  </si>
  <si>
    <t>p = 50%</t>
  </si>
  <si>
    <t>n=7</t>
  </si>
  <si>
    <t>chi2inv((1+0.95)/2,n-1)</t>
  </si>
  <si>
    <t xml:space="preserve">gave us </t>
  </si>
  <si>
    <t>S_xHigh</t>
  </si>
  <si>
    <t>n = 7</t>
  </si>
  <si>
    <t>chi2inv((1-0.95)/2,n-1)</t>
  </si>
  <si>
    <t>gave us</t>
  </si>
  <si>
    <t>13ft</t>
  </si>
  <si>
    <t>16ft</t>
  </si>
  <si>
    <t>9ft</t>
  </si>
  <si>
    <t>Ball</t>
  </si>
  <si>
    <t>x-axis</t>
  </si>
  <si>
    <t>y-axis</t>
  </si>
  <si>
    <t>5ft</t>
  </si>
  <si>
    <t>x = .071</t>
  </si>
  <si>
    <t>y = 0.005</t>
  </si>
  <si>
    <t>sigma_P13 = .5*(Sx13+Sy13)</t>
  </si>
  <si>
    <t>sigma_P13 =</t>
  </si>
  <si>
    <t>&gt;&gt; .05/0.0376</t>
  </si>
  <si>
    <t>ans =</t>
  </si>
  <si>
    <t>&gt;&gt; 1 - exp((-.5)*(1.3298)^2)</t>
  </si>
  <si>
    <t>&gt;&gt; 1.177*0.0376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</si>
</sst>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sz val="10.0"/>
      <name val="Arial"/>
    </font>
    <font/>
    <font>
      <sz val="8.0"/>
      <name val="Arial"/>
    </font>
    <font>
      <sz val="11.0"/>
      <color rgb="FF000000"/>
      <name val="Inconsolata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3" fontId="1" numFmtId="164" xfId="0" applyAlignment="1" applyBorder="1" applyFill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Font="1" applyNumberFormat="1"/>
    <xf borderId="0" fillId="0" fontId="1" numFmtId="164" xfId="0" applyAlignment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9" fillId="0" fontId="1" numFmtId="164" xfId="0" applyAlignment="1" applyBorder="1" applyFont="1" applyNumberFormat="1">
      <alignment horizontal="center" readingOrder="0" shrinkToFit="0" vertical="center" wrapText="1"/>
    </xf>
    <xf borderId="10" fillId="0" fontId="1" numFmtId="164" xfId="0" applyAlignment="1" applyBorder="1" applyFont="1" applyNumberFormat="1">
      <alignment horizontal="center" readingOrder="0" shrinkToFit="0" vertical="center" wrapText="1"/>
    </xf>
    <xf borderId="0" fillId="4" fontId="1" numFmtId="164" xfId="0" applyAlignment="1" applyFill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4" fontId="4" numFmtId="164" xfId="0" applyAlignment="1" applyBorder="1" applyFont="1" applyNumberFormat="1">
      <alignment horizontal="center"/>
    </xf>
    <xf borderId="11" fillId="0" fontId="2" numFmtId="0" xfId="0" applyBorder="1" applyFont="1"/>
    <xf borderId="1" fillId="0" fontId="5" numFmtId="164" xfId="0" applyAlignment="1" applyBorder="1" applyFont="1" applyNumberFormat="1">
      <alignment horizontal="center" shrinkToFit="0" wrapText="1"/>
    </xf>
    <xf borderId="12" fillId="0" fontId="5" numFmtId="164" xfId="0" applyAlignment="1" applyBorder="1" applyFont="1" applyNumberFormat="1">
      <alignment horizontal="center" readingOrder="0" shrinkToFit="0" wrapText="1"/>
    </xf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5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EVERYTHING!$B$14:$B$20</c:f>
            </c:numRef>
          </c:xVal>
          <c:yVal>
            <c:numRef>
              <c:f>EVERYTHING!$C$14:$C$20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58759"/>
        <c:axId val="76061420"/>
      </c:scatterChart>
      <c:valAx>
        <c:axId val="1628658759"/>
        <c:scaling>
          <c:orientation val="minMax"/>
          <c:max val="0.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061420"/>
      </c:valAx>
      <c:valAx>
        <c:axId val="7606142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8658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13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EVERYTHING!$G$13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EVERYTHING!$F$14:$F$20</c:f>
            </c:numRef>
          </c:xVal>
          <c:yVal>
            <c:numRef>
              <c:f>EVERYTHING!$G$14:$G$20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46042"/>
        <c:axId val="605832669"/>
      </c:scatterChart>
      <c:valAx>
        <c:axId val="784846042"/>
        <c:scaling>
          <c:orientation val="minMax"/>
          <c:max val="0.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5832669"/>
      </c:valAx>
      <c:valAx>
        <c:axId val="605832669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4846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16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EVERYTHING!$I$13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EVERYTHING!$H$14:$H$20</c:f>
            </c:numRef>
          </c:xVal>
          <c:yVal>
            <c:numRef>
              <c:f>EVERYTHING!$I$14:$I$20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99131"/>
        <c:axId val="662335749"/>
      </c:scatterChart>
      <c:valAx>
        <c:axId val="923299131"/>
        <c:scaling>
          <c:orientation val="minMax"/>
          <c:max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2335749"/>
      </c:valAx>
      <c:valAx>
        <c:axId val="662335749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3299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9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EVERYTHING!$E$13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EVERYTHING!$D$14:$D$20</c:f>
            </c:numRef>
          </c:xVal>
          <c:yVal>
            <c:numRef>
              <c:f>EVERYTHING!$E$14:$E$20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95640"/>
        <c:axId val="2054691809"/>
      </c:scatterChart>
      <c:valAx>
        <c:axId val="1259495640"/>
        <c:scaling>
          <c:orientation val="minMax"/>
          <c:max val="0.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4691809"/>
      </c:valAx>
      <c:valAx>
        <c:axId val="2054691809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9495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5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EVERYTHING!$B$14:$B$20</c:f>
            </c:numRef>
          </c:xVal>
          <c:yVal>
            <c:numRef>
              <c:f>EVERYTHING!$C$14:$C$20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17782"/>
        <c:axId val="1932303355"/>
      </c:scatterChart>
      <c:valAx>
        <c:axId val="2061917782"/>
        <c:scaling>
          <c:orientation val="minMax"/>
          <c:max val="0.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2303355"/>
      </c:valAx>
      <c:valAx>
        <c:axId val="1932303355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1917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9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EVERYTHING!$E$13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EVERYTHING!$D$14:$D$20</c:f>
            </c:numRef>
          </c:xVal>
          <c:yVal>
            <c:numRef>
              <c:f>EVERYTHING!$E$14:$E$20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402"/>
        <c:axId val="500524077"/>
      </c:scatterChart>
      <c:valAx>
        <c:axId val="1966126402"/>
        <c:scaling>
          <c:orientation val="minMax"/>
          <c:max val="0.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0524077"/>
      </c:valAx>
      <c:valAx>
        <c:axId val="500524077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6126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13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EVERYTHING!$G$13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EVERYTHING!$F$14:$F$20</c:f>
            </c:numRef>
          </c:xVal>
          <c:yVal>
            <c:numRef>
              <c:f>EVERYTHING!$G$14:$G$20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742"/>
        <c:axId val="1951256561"/>
      </c:scatterChart>
      <c:valAx>
        <c:axId val="16724742"/>
        <c:scaling>
          <c:orientation val="minMax"/>
          <c:max val="0.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1256561"/>
      </c:valAx>
      <c:valAx>
        <c:axId val="1951256561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24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16 feet away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EVERYTHING!$I$13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EVERYTHING!$H$14:$H$20</c:f>
            </c:numRef>
          </c:xVal>
          <c:yVal>
            <c:numRef>
              <c:f>EVERYTHING!$I$14:$I$20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20236"/>
        <c:axId val="1875426572"/>
      </c:scatterChart>
      <c:valAx>
        <c:axId val="228620236"/>
        <c:scaling>
          <c:orientation val="minMax"/>
          <c:max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426572"/>
      </c:valAx>
      <c:valAx>
        <c:axId val="1875426572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8620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7</xdr:row>
      <xdr:rowOff>57150</xdr:rowOff>
    </xdr:from>
    <xdr:ext cx="4419600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523875</xdr:colOff>
      <xdr:row>7</xdr:row>
      <xdr:rowOff>76200</xdr:rowOff>
    </xdr:from>
    <xdr:ext cx="4333875" cy="2676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571500</xdr:colOff>
      <xdr:row>22</xdr:row>
      <xdr:rowOff>76200</xdr:rowOff>
    </xdr:from>
    <xdr:ext cx="4324350" cy="2676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485775</xdr:colOff>
      <xdr:row>22</xdr:row>
      <xdr:rowOff>85725</xdr:rowOff>
    </xdr:from>
    <xdr:ext cx="4314825" cy="2667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4419600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4314825" cy="2667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4333875" cy="26765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4324350" cy="2676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8.43"/>
    <col customWidth="1" min="15" max="15" width="9.0"/>
    <col customWidth="1" min="16" max="16" width="8.43"/>
    <col customWidth="1" min="17" max="17" width="9.0"/>
    <col customWidth="1" min="18" max="18" width="8.43"/>
    <col customWidth="1" min="19" max="19" width="9.0"/>
    <col customWidth="1" min="20" max="20" width="8.43"/>
    <col customWidth="1" min="21" max="21" width="9.0"/>
  </cols>
  <sheetData>
    <row r="1">
      <c r="A1" s="1" t="s">
        <v>0</v>
      </c>
      <c r="B1" s="2" t="s">
        <v>10</v>
      </c>
      <c r="C1" s="3"/>
      <c r="D1" s="2" t="s">
        <v>11</v>
      </c>
      <c r="E1" s="3"/>
      <c r="F1" s="2" t="s">
        <v>12</v>
      </c>
      <c r="G1" s="3"/>
      <c r="H1" s="2" t="s">
        <v>13</v>
      </c>
      <c r="I1" s="3"/>
      <c r="J1" s="12"/>
      <c r="K1" s="12"/>
      <c r="L1" s="12"/>
      <c r="M1" s="6"/>
      <c r="N1" s="6"/>
      <c r="P1" s="6"/>
      <c r="R1" s="6"/>
      <c r="T1" s="6"/>
      <c r="V1" s="12"/>
      <c r="W1" s="12"/>
      <c r="X1" s="12"/>
    </row>
    <row r="2">
      <c r="A2" s="4"/>
      <c r="B2" s="5" t="s">
        <v>1</v>
      </c>
      <c r="C2" s="5" t="s">
        <v>2</v>
      </c>
      <c r="D2" s="5" t="s">
        <v>1</v>
      </c>
      <c r="E2" s="5" t="s">
        <v>2</v>
      </c>
      <c r="F2" s="5" t="s">
        <v>1</v>
      </c>
      <c r="G2" s="5" t="s">
        <v>2</v>
      </c>
      <c r="H2" s="5" t="s">
        <v>1</v>
      </c>
      <c r="I2" s="5" t="s">
        <v>2</v>
      </c>
      <c r="J2" s="12"/>
      <c r="K2" s="12"/>
      <c r="L2" s="12"/>
      <c r="N2" s="6"/>
      <c r="O2" s="6"/>
      <c r="P2" s="6"/>
      <c r="Q2" s="6"/>
      <c r="R2" s="6"/>
      <c r="S2" s="6"/>
      <c r="T2" s="6"/>
      <c r="U2" s="6"/>
      <c r="V2" s="12"/>
      <c r="W2" s="12"/>
      <c r="X2" s="12"/>
    </row>
    <row r="3">
      <c r="A3" s="5" t="s">
        <v>3</v>
      </c>
      <c r="B3" s="13">
        <v>-1.0</v>
      </c>
      <c r="C3" s="13">
        <v>5.5</v>
      </c>
      <c r="D3" s="13">
        <v>0.0</v>
      </c>
      <c r="E3" s="13">
        <v>1.5</v>
      </c>
      <c r="F3" s="13">
        <v>5.4</v>
      </c>
      <c r="G3" s="13">
        <v>-0.6</v>
      </c>
      <c r="H3" s="13">
        <v>6.1</v>
      </c>
      <c r="I3" s="13">
        <v>0.9</v>
      </c>
      <c r="J3" s="12"/>
      <c r="K3" s="12"/>
      <c r="L3" s="12"/>
      <c r="M3" s="6"/>
      <c r="N3" s="6"/>
      <c r="O3" s="6"/>
      <c r="P3" s="6"/>
      <c r="Q3" s="6"/>
      <c r="R3" s="6"/>
      <c r="S3" s="6"/>
      <c r="T3" s="6"/>
      <c r="U3" s="6"/>
      <c r="V3" s="12"/>
      <c r="W3" s="12"/>
      <c r="X3" s="12"/>
    </row>
    <row r="4">
      <c r="A4" s="5" t="s">
        <v>4</v>
      </c>
      <c r="B4" s="13">
        <v>0.8</v>
      </c>
      <c r="C4" s="13">
        <v>3.4</v>
      </c>
      <c r="D4" s="13">
        <v>3.1</v>
      </c>
      <c r="E4" s="13">
        <v>0.2</v>
      </c>
      <c r="F4" s="13">
        <v>7.4</v>
      </c>
      <c r="G4" s="13">
        <v>0.7</v>
      </c>
      <c r="H4" s="13">
        <v>8.4</v>
      </c>
      <c r="I4" s="13">
        <v>0.9</v>
      </c>
      <c r="J4" s="12"/>
      <c r="K4" s="12"/>
      <c r="L4" s="12"/>
      <c r="M4" s="6"/>
      <c r="N4" s="6"/>
      <c r="O4" s="6"/>
      <c r="P4" s="6"/>
      <c r="Q4" s="6"/>
      <c r="R4" s="6"/>
      <c r="S4" s="6"/>
      <c r="T4" s="6"/>
      <c r="U4" s="6"/>
      <c r="V4" s="12"/>
      <c r="W4" s="12"/>
      <c r="X4" s="12"/>
    </row>
    <row r="5">
      <c r="A5" s="5" t="s">
        <v>5</v>
      </c>
      <c r="B5" s="13">
        <v>1.6</v>
      </c>
      <c r="C5" s="13">
        <v>2.3</v>
      </c>
      <c r="D5" s="13">
        <v>4.0</v>
      </c>
      <c r="E5" s="13">
        <v>-0.6</v>
      </c>
      <c r="F5" s="13">
        <v>8.1</v>
      </c>
      <c r="G5" s="13">
        <v>3.8</v>
      </c>
      <c r="H5" s="13">
        <v>15.0</v>
      </c>
      <c r="I5" s="13">
        <v>0.4</v>
      </c>
      <c r="J5" s="12"/>
      <c r="K5" s="12"/>
      <c r="L5" s="12"/>
      <c r="M5" s="6"/>
      <c r="N5" s="6"/>
      <c r="O5" s="6"/>
      <c r="P5" s="6"/>
      <c r="Q5" s="6"/>
      <c r="R5" s="6"/>
      <c r="S5" s="6"/>
      <c r="T5" s="6"/>
      <c r="U5" s="6"/>
      <c r="V5" s="12"/>
      <c r="W5" s="12"/>
      <c r="X5" s="12"/>
    </row>
    <row r="6">
      <c r="A6" s="5" t="s">
        <v>6</v>
      </c>
      <c r="B6" s="13">
        <v>2.1</v>
      </c>
      <c r="C6" s="13">
        <v>3.1</v>
      </c>
      <c r="D6" s="13">
        <v>0.8</v>
      </c>
      <c r="E6" s="13">
        <v>4.0</v>
      </c>
      <c r="F6" s="13">
        <v>10.4</v>
      </c>
      <c r="G6" s="13">
        <v>2.5</v>
      </c>
      <c r="H6" s="13">
        <v>15.5</v>
      </c>
      <c r="I6" s="13">
        <v>0.7</v>
      </c>
      <c r="J6" s="12"/>
      <c r="K6" s="12"/>
      <c r="L6" s="12"/>
      <c r="M6" s="6"/>
      <c r="N6" s="6"/>
      <c r="O6" s="6"/>
      <c r="P6" s="6"/>
      <c r="Q6" s="6"/>
      <c r="R6" s="6"/>
      <c r="S6" s="6"/>
      <c r="T6" s="6"/>
      <c r="U6" s="6"/>
      <c r="V6" s="12"/>
      <c r="W6" s="12"/>
      <c r="X6" s="12"/>
    </row>
    <row r="7">
      <c r="A7" s="5" t="s">
        <v>7</v>
      </c>
      <c r="B7" s="13">
        <v>2.3</v>
      </c>
      <c r="C7" s="13">
        <v>4.3</v>
      </c>
      <c r="D7" s="13">
        <v>2.5</v>
      </c>
      <c r="E7" s="13">
        <v>3.4</v>
      </c>
      <c r="F7" s="13">
        <v>12.5</v>
      </c>
      <c r="G7" s="13">
        <v>2.5</v>
      </c>
      <c r="H7" s="13">
        <v>18.1</v>
      </c>
      <c r="I7" s="13">
        <v>3.9</v>
      </c>
      <c r="J7" s="12"/>
      <c r="K7" s="12"/>
      <c r="L7" s="12"/>
      <c r="M7" s="6"/>
      <c r="N7" s="6"/>
      <c r="O7" s="6"/>
      <c r="P7" s="6"/>
      <c r="Q7" s="6"/>
      <c r="R7" s="6"/>
      <c r="S7" s="6"/>
      <c r="T7" s="6"/>
      <c r="U7" s="6"/>
      <c r="V7" s="12"/>
      <c r="W7" s="12"/>
      <c r="X7" s="12"/>
    </row>
    <row r="8">
      <c r="A8" s="5" t="s">
        <v>8</v>
      </c>
      <c r="B8" s="13">
        <v>3.0</v>
      </c>
      <c r="C8" s="13">
        <v>2.2</v>
      </c>
      <c r="D8" s="13">
        <v>5.0</v>
      </c>
      <c r="E8" s="13">
        <v>4.8</v>
      </c>
      <c r="F8" s="13">
        <v>16.5</v>
      </c>
      <c r="G8" s="13">
        <v>0.0</v>
      </c>
      <c r="H8" s="13">
        <v>20.0</v>
      </c>
      <c r="I8" s="13">
        <v>-1.2</v>
      </c>
      <c r="J8" s="12"/>
      <c r="K8" s="12"/>
      <c r="L8" s="12"/>
      <c r="M8" s="6"/>
      <c r="N8" s="6"/>
      <c r="O8" s="6"/>
      <c r="P8" s="6"/>
      <c r="Q8" s="6"/>
      <c r="R8" s="6"/>
      <c r="S8" s="6"/>
      <c r="T8" s="6"/>
      <c r="U8" s="6"/>
      <c r="V8" s="12"/>
      <c r="W8" s="12"/>
      <c r="X8" s="12"/>
    </row>
    <row r="9">
      <c r="A9" s="8" t="s">
        <v>9</v>
      </c>
      <c r="B9" s="13">
        <v>3.5</v>
      </c>
      <c r="C9" s="13">
        <v>2.8</v>
      </c>
      <c r="D9" s="13">
        <v>9.3</v>
      </c>
      <c r="E9" s="13">
        <v>1.8</v>
      </c>
      <c r="F9" s="13">
        <v>11.0</v>
      </c>
      <c r="G9" s="13">
        <v>-7.8</v>
      </c>
      <c r="H9" s="13">
        <v>18.3</v>
      </c>
      <c r="I9" s="13">
        <v>-2.2</v>
      </c>
      <c r="J9" s="12"/>
      <c r="K9" s="12"/>
      <c r="L9" s="12"/>
      <c r="M9" s="6"/>
      <c r="N9" s="6"/>
      <c r="O9" s="6"/>
      <c r="P9" s="6"/>
      <c r="Q9" s="6"/>
      <c r="R9" s="6"/>
      <c r="S9" s="6"/>
      <c r="T9" s="6"/>
      <c r="U9" s="6"/>
      <c r="V9" s="12"/>
      <c r="W9" s="12"/>
      <c r="X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6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6"/>
      <c r="L11" s="12"/>
      <c r="M11" s="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" t="s">
        <v>0</v>
      </c>
      <c r="B12" s="2" t="s">
        <v>10</v>
      </c>
      <c r="C12" s="3"/>
      <c r="D12" s="2" t="s">
        <v>11</v>
      </c>
      <c r="E12" s="3"/>
      <c r="F12" s="2" t="s">
        <v>12</v>
      </c>
      <c r="G12" s="3"/>
      <c r="H12" s="2" t="s">
        <v>13</v>
      </c>
      <c r="I12" s="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4"/>
      <c r="B13" s="5" t="s">
        <v>1</v>
      </c>
      <c r="C13" s="5" t="s">
        <v>2</v>
      </c>
      <c r="D13" s="5" t="s">
        <v>1</v>
      </c>
      <c r="E13" s="5" t="s">
        <v>2</v>
      </c>
      <c r="F13" s="5" t="s">
        <v>1</v>
      </c>
      <c r="G13" s="5" t="s">
        <v>2</v>
      </c>
      <c r="H13" s="5" t="s">
        <v>1</v>
      </c>
      <c r="I13" s="5" t="s">
        <v>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5" t="s">
        <v>3</v>
      </c>
      <c r="B14" s="6">
        <f> -0.01 - 0.018</f>
        <v>-0.028</v>
      </c>
      <c r="C14" s="6">
        <f> 0.055 - 0.034</f>
        <v>0.021</v>
      </c>
      <c r="D14" s="6">
        <f> 0 - 0.035</f>
        <v>-0.035</v>
      </c>
      <c r="E14" s="6">
        <f> 0.015 - 0.022</f>
        <v>-0.007</v>
      </c>
      <c r="F14" s="6">
        <f> 0.054 - 0.102</f>
        <v>-0.048</v>
      </c>
      <c r="G14" s="6">
        <f> -0.006 - 0.002</f>
        <v>-0.008</v>
      </c>
      <c r="H14" s="6">
        <f> 0.061 - 0.145</f>
        <v>-0.084</v>
      </c>
      <c r="I14" s="6">
        <f t="shared" ref="I14:I15" si="1"> 0.0009 - 0.001</f>
        <v>-0.0001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5" t="s">
        <v>4</v>
      </c>
      <c r="B15" s="6">
        <f>0.008 - 0.018</f>
        <v>-0.01</v>
      </c>
      <c r="C15" s="6">
        <f> 0.034 -0.034</f>
        <v>0</v>
      </c>
      <c r="D15" s="6">
        <f> 0.031 -0.035</f>
        <v>-0.004</v>
      </c>
      <c r="E15" s="6">
        <f> 0.002- 0.022</f>
        <v>-0.02</v>
      </c>
      <c r="F15" s="6">
        <f> 0.074- 0.102</f>
        <v>-0.028</v>
      </c>
      <c r="G15" s="6">
        <f> 0.007 - 0.002</f>
        <v>0.005</v>
      </c>
      <c r="H15" s="6">
        <f> 0.084- 0.145</f>
        <v>-0.061</v>
      </c>
      <c r="I15" s="6">
        <f t="shared" si="1"/>
        <v>-0.0001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5" t="s">
        <v>5</v>
      </c>
      <c r="B16" s="6">
        <f>0.016- 0.018</f>
        <v>-0.002</v>
      </c>
      <c r="C16" s="6">
        <f> 0.023 - 0.034</f>
        <v>-0.011</v>
      </c>
      <c r="D16" s="6">
        <f>0.04-0.035</f>
        <v>0.005</v>
      </c>
      <c r="E16" s="6">
        <f> -0.006- 0.022</f>
        <v>-0.028</v>
      </c>
      <c r="F16" s="6">
        <f> 0.081- 0.102</f>
        <v>-0.021</v>
      </c>
      <c r="G16" s="6">
        <f> 0.038 - 0.002</f>
        <v>0.036</v>
      </c>
      <c r="H16" s="6">
        <f> 0.15- 0.145</f>
        <v>0.005</v>
      </c>
      <c r="I16" s="6">
        <f> 0.0004 - 0.001</f>
        <v>-0.0006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5" t="s">
        <v>6</v>
      </c>
      <c r="B17" s="6">
        <f> 0.021 - 0.018</f>
        <v>0.003</v>
      </c>
      <c r="C17" s="6">
        <f> 0.031 - 0.034</f>
        <v>-0.003</v>
      </c>
      <c r="D17" s="6">
        <f> 0.008-0.035</f>
        <v>-0.027</v>
      </c>
      <c r="E17" s="6">
        <f> 0.04- 0.022</f>
        <v>0.018</v>
      </c>
      <c r="F17" s="6">
        <f> 0.104- 0.102</f>
        <v>0.002</v>
      </c>
      <c r="G17" s="6">
        <f t="shared" ref="G17:G18" si="2"> 0.025 - 0.002</f>
        <v>0.023</v>
      </c>
      <c r="H17" s="6">
        <f> 0.155- 0.145</f>
        <v>0.01</v>
      </c>
      <c r="I17" s="6">
        <f> 0.0007 - 0.001</f>
        <v>-0.0003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5" t="s">
        <v>7</v>
      </c>
      <c r="B18" s="6">
        <f>0.023 - 0.018</f>
        <v>0.005</v>
      </c>
      <c r="C18" s="6">
        <f> 0.043 - 0.034</f>
        <v>0.009</v>
      </c>
      <c r="D18" s="6">
        <f> 0.025- 0.035</f>
        <v>-0.01</v>
      </c>
      <c r="E18" s="6">
        <f>0.034- 0.022</f>
        <v>0.012</v>
      </c>
      <c r="F18" s="6">
        <f> 0.125- 0.102</f>
        <v>0.023</v>
      </c>
      <c r="G18" s="6">
        <f t="shared" si="2"/>
        <v>0.023</v>
      </c>
      <c r="H18" s="6">
        <f> 0.181- 0.145</f>
        <v>0.036</v>
      </c>
      <c r="I18" s="6">
        <f> 0.039 - 0.001</f>
        <v>0.038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5" t="s">
        <v>8</v>
      </c>
      <c r="B19" s="6">
        <f> 0.03 - 0.018</f>
        <v>0.012</v>
      </c>
      <c r="C19" s="6">
        <f> 0.022 - 0.034</f>
        <v>-0.012</v>
      </c>
      <c r="D19" s="6">
        <f>0.05- 0.035</f>
        <v>0.015</v>
      </c>
      <c r="E19" s="6">
        <f>0.048- 0.022</f>
        <v>0.026</v>
      </c>
      <c r="F19" s="6">
        <f>0.165- 0.102</f>
        <v>0.063</v>
      </c>
      <c r="G19" s="6">
        <f> 0 - 0.002</f>
        <v>-0.002</v>
      </c>
      <c r="H19" s="6">
        <f> 0.2- 0.145</f>
        <v>0.055</v>
      </c>
      <c r="I19" s="6">
        <f>-0.012 - 0.001</f>
        <v>-0.013</v>
      </c>
      <c r="J19" s="12"/>
      <c r="K19" s="16"/>
      <c r="L19" s="1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8" t="s">
        <v>9</v>
      </c>
      <c r="B20" s="6">
        <f> 0.035 - 0.018</f>
        <v>0.017</v>
      </c>
      <c r="C20" s="6">
        <f> 0.028 - 0.034</f>
        <v>-0.006</v>
      </c>
      <c r="D20" s="6">
        <f>0.093- 0.035</f>
        <v>0.058</v>
      </c>
      <c r="E20" s="6">
        <f>0.018- 0.022</f>
        <v>-0.004</v>
      </c>
      <c r="F20" s="6">
        <f> 0.11- 0.102</f>
        <v>0.008</v>
      </c>
      <c r="G20" s="6">
        <f> -0.078 - 0.002</f>
        <v>-0.08</v>
      </c>
      <c r="H20" s="6">
        <f> 0.183- 0.145</f>
        <v>0.038</v>
      </c>
      <c r="I20" s="6">
        <f> -0.022 - 0.001</f>
        <v>-0.023</v>
      </c>
      <c r="J20" s="12"/>
      <c r="K20" s="16"/>
      <c r="L20" s="16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22.5" customHeight="1">
      <c r="A21" s="17"/>
      <c r="B21" s="18"/>
      <c r="C21" s="18"/>
      <c r="D21" s="18"/>
      <c r="E21" s="18"/>
      <c r="F21" s="18"/>
      <c r="G21" s="18"/>
      <c r="H21" s="18"/>
      <c r="I21" s="18"/>
      <c r="J21" s="12"/>
      <c r="K21" s="19"/>
      <c r="L21" s="19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9.5" customHeight="1">
      <c r="A22" s="20" t="s">
        <v>14</v>
      </c>
      <c r="B22" s="18">
        <f t="shared" ref="B22:I22" si="3">sum(B14:B20)/7</f>
        <v>-0.0004285714286</v>
      </c>
      <c r="C22" s="18">
        <f t="shared" si="3"/>
        <v>-0.0002857142857</v>
      </c>
      <c r="D22" s="18">
        <f t="shared" si="3"/>
        <v>0.0002857142857</v>
      </c>
      <c r="E22" s="18">
        <f t="shared" si="3"/>
        <v>-0.0004285714286</v>
      </c>
      <c r="F22" s="18">
        <f t="shared" si="3"/>
        <v>-0.0001428571429</v>
      </c>
      <c r="G22" s="18">
        <f t="shared" si="3"/>
        <v>-0.0004285714286</v>
      </c>
      <c r="H22" s="18">
        <f t="shared" si="3"/>
        <v>-0.0001428571429</v>
      </c>
      <c r="I22" s="18">
        <f t="shared" si="3"/>
        <v>0.0001285714286</v>
      </c>
      <c r="J22" s="12"/>
      <c r="K22" s="19"/>
      <c r="L22" s="19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9.5" customHeight="1">
      <c r="A23" s="20" t="s">
        <v>15</v>
      </c>
      <c r="B23" s="18"/>
      <c r="C23" s="18"/>
      <c r="D23" s="18"/>
      <c r="E23" s="18"/>
      <c r="F23" s="18"/>
      <c r="G23" s="18"/>
      <c r="H23" s="18"/>
      <c r="I23" s="18"/>
      <c r="J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9.5" customHeight="1">
      <c r="A24" s="13" t="s">
        <v>16</v>
      </c>
      <c r="B24" s="18"/>
      <c r="C24" s="18"/>
      <c r="D24" s="18"/>
      <c r="E24" s="18"/>
      <c r="F24" s="18"/>
      <c r="G24" s="18"/>
      <c r="H24" s="18"/>
      <c r="I24" s="18"/>
      <c r="J24" s="12"/>
      <c r="K24" s="19"/>
      <c r="L24" s="19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35.25" customHeight="1">
      <c r="A25" s="21"/>
      <c r="B25" s="18"/>
      <c r="C25" s="18"/>
      <c r="D25" s="18"/>
      <c r="E25" s="18"/>
      <c r="F25" s="18"/>
      <c r="G25" s="18"/>
      <c r="H25" s="18"/>
      <c r="I25" s="18"/>
      <c r="J25" s="12"/>
      <c r="K25" s="19"/>
      <c r="L25" s="19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9.5" customHeight="1">
      <c r="A26" s="22" t="s">
        <v>17</v>
      </c>
      <c r="B26" s="18">
        <f t="shared" ref="B26:I26" si="4">STDEV(B14:B20)</f>
        <v>0.01502062075</v>
      </c>
      <c r="C26" s="18">
        <f t="shared" si="4"/>
        <v>0.01177163661</v>
      </c>
      <c r="D26" s="18">
        <f t="shared" si="4"/>
        <v>0.03077723339</v>
      </c>
      <c r="E26" s="18">
        <f t="shared" si="4"/>
        <v>0.01996544634</v>
      </c>
      <c r="F26" s="18">
        <f t="shared" si="4"/>
        <v>0.03673068005</v>
      </c>
      <c r="G26" s="18">
        <f t="shared" si="4"/>
        <v>0.03839642841</v>
      </c>
      <c r="H26" s="18">
        <f t="shared" si="4"/>
        <v>0.05270492884</v>
      </c>
      <c r="I26" s="18">
        <f t="shared" si="4"/>
        <v>0.01889600613</v>
      </c>
      <c r="J26" s="12"/>
      <c r="K26" s="19"/>
      <c r="L26" s="19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9.5" customHeight="1">
      <c r="A27" s="23" t="s">
        <v>18</v>
      </c>
      <c r="B27" s="24">
        <f>0.5*(B26+C26)</f>
        <v>0.01339612868</v>
      </c>
      <c r="C27" s="3"/>
      <c r="D27" s="24">
        <f>0.5*(D26+E26)</f>
        <v>0.02537133987</v>
      </c>
      <c r="E27" s="3"/>
      <c r="F27" s="24">
        <f>0.5*(F26+G26)</f>
        <v>0.03756355423</v>
      </c>
      <c r="G27" s="3"/>
      <c r="H27" s="24">
        <f>0.5*(H26+I26)</f>
        <v>0.03580046748</v>
      </c>
      <c r="I27" s="3"/>
      <c r="J27" s="12"/>
      <c r="K27" s="19"/>
      <c r="L27" s="1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9.5" customHeight="1">
      <c r="A28" s="23" t="s">
        <v>19</v>
      </c>
      <c r="B28" s="23">
        <f>SQRT(B22^2+C22^2)</f>
        <v>0.0005150787536</v>
      </c>
      <c r="C28" s="3"/>
      <c r="D28" s="23">
        <f>SQRT(D22^2+E22^2)</f>
        <v>0.0005150787536</v>
      </c>
      <c r="E28" s="3"/>
      <c r="F28" s="23">
        <f>SQRT(F22^2+G22^2)</f>
        <v>0.0004517539515</v>
      </c>
      <c r="G28" s="3"/>
      <c r="H28" s="23">
        <f>SQRT(H22^2+I22^2)</f>
        <v>0.0001921946292</v>
      </c>
      <c r="I28" s="3"/>
      <c r="J28" s="12"/>
      <c r="K28" s="16"/>
      <c r="L28" s="16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9.5" customHeight="1">
      <c r="A29" s="13" t="s">
        <v>20</v>
      </c>
      <c r="B29" s="24">
        <f>1.177*SQRT(B27^2+B28^2)</f>
        <v>0.01577889421</v>
      </c>
      <c r="C29" s="3"/>
      <c r="D29" s="24">
        <f>1.177*SQRT(D27^2+D28^2)</f>
        <v>0.02986822029</v>
      </c>
      <c r="E29" s="3"/>
      <c r="F29" s="24">
        <f>1.177*SQRT(F27^2+F28^2)</f>
        <v>0.04421550051</v>
      </c>
      <c r="G29" s="3"/>
      <c r="H29" s="24">
        <f>1.177*SQRT(H27^2+H28^2)</f>
        <v>0.04213775744</v>
      </c>
      <c r="I29" s="3"/>
      <c r="J29" s="12"/>
      <c r="K29" s="19"/>
      <c r="L29" s="16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9.5" customHeight="1">
      <c r="A30" s="13" t="s">
        <v>21</v>
      </c>
      <c r="B30" s="23">
        <f>B26*SQRT(6/D48)</f>
        <v>0.009679180731</v>
      </c>
      <c r="C30" s="3"/>
      <c r="D30" s="23">
        <f>D26*SQRT(6/D48)</f>
        <v>0.01983262939</v>
      </c>
      <c r="E30" s="3"/>
      <c r="F30" s="23">
        <f>F26*SQRT(6/D48)</f>
        <v>0.02366898789</v>
      </c>
      <c r="G30" s="3"/>
      <c r="H30" s="23">
        <f>H26*SQRT(6/D48)</f>
        <v>0.03396267972</v>
      </c>
      <c r="I30" s="3"/>
      <c r="J30" s="12"/>
      <c r="K30" s="19"/>
      <c r="L30" s="16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9.5" customHeight="1">
      <c r="A31" s="13" t="s">
        <v>22</v>
      </c>
      <c r="B31" s="23">
        <f>B26*SQRT((6)/D51)</f>
        <v>0.03307699134</v>
      </c>
      <c r="C31" s="3"/>
      <c r="D31" s="23">
        <f>D26*SQRT(6/D51)</f>
        <v>0.06777471448</v>
      </c>
      <c r="E31" s="3"/>
      <c r="F31" s="23">
        <f>F26*SQRT(6/D51)</f>
        <v>0.08088483203</v>
      </c>
      <c r="G31" s="3"/>
      <c r="H31" s="23">
        <f>H26*SQRT(6/D51)</f>
        <v>0.1160618129</v>
      </c>
      <c r="I31" s="3"/>
      <c r="J31" s="12"/>
      <c r="K31" s="19"/>
      <c r="L31" s="16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3" t="s">
        <v>23</v>
      </c>
      <c r="B32" s="23">
        <f>C26*SQRT(6/D48)</f>
        <v>0.00758555856</v>
      </c>
      <c r="C32" s="3"/>
      <c r="D32" s="25">
        <f>E26*SQRT(6/D48)</f>
        <v>0.01286559103</v>
      </c>
      <c r="E32" s="3"/>
      <c r="F32" s="25">
        <f>G26*SQRT(6/D48)</f>
        <v>0.02474238424</v>
      </c>
      <c r="G32" s="3"/>
      <c r="H32" s="25">
        <f>I26*SQRT(6/D48)</f>
        <v>0.01217645139</v>
      </c>
      <c r="I32" s="3"/>
      <c r="J32" s="12"/>
      <c r="K32" s="19"/>
      <c r="L32" s="16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3" t="s">
        <v>24</v>
      </c>
      <c r="B33" s="23">
        <f>C26*SQRT(6/D51)</f>
        <v>0.02592238556</v>
      </c>
      <c r="C33" s="3"/>
      <c r="D33" s="23">
        <f>E26*SQRT(6/D51)</f>
        <v>0.04396601891</v>
      </c>
      <c r="E33" s="3"/>
      <c r="F33" s="23">
        <f>G26*SQRT(6/D51)</f>
        <v>0.08455298561</v>
      </c>
      <c r="G33" s="3"/>
      <c r="H33" s="23">
        <f>I26*SQRT(6/D51)</f>
        <v>0.04161099875</v>
      </c>
      <c r="I33" s="3"/>
      <c r="J33" s="12"/>
      <c r="K33" s="19"/>
      <c r="L33" s="16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3" t="s">
        <v>25</v>
      </c>
      <c r="B34" s="24">
        <f>SQRT((F45/2)*((B30-B26)^2+(B32-C26)^2))</f>
        <v>0.00520695271</v>
      </c>
      <c r="C34" s="3"/>
      <c r="D34" s="23">
        <f>SQRT((F45/2)*((D30-D26)^2+(D32-E26)^2))</f>
        <v>0.01000964841</v>
      </c>
      <c r="E34" s="3"/>
      <c r="F34" s="23">
        <f>SQRT((F45/2)*((F30-F26)^2+(F32-G26)^2))</f>
        <v>0.01449798826</v>
      </c>
      <c r="G34" s="3"/>
      <c r="H34" s="23">
        <f>SQRT((F45/2)*((H30-H26)^2+(H32-I26)^2))</f>
        <v>0.015276681</v>
      </c>
      <c r="I34" s="3"/>
      <c r="J34" s="12"/>
      <c r="K34" s="19"/>
      <c r="L34" s="16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3" t="s">
        <v>26</v>
      </c>
      <c r="B35" s="23">
        <f>SQRT((F45/2)*((B31-B26)^2+(B33-C26)^2))</f>
        <v>0.01760174551</v>
      </c>
      <c r="C35" s="3"/>
      <c r="D35" s="23">
        <f>SQRT((F45/2)*((D31-D26)^2+(D33-E26)^2))</f>
        <v>0.03383692799</v>
      </c>
      <c r="E35" s="3"/>
      <c r="F35" s="23">
        <f>SQRT((F45/2)*((F31-F26)^2+(F33-G26)^2))</f>
        <v>0.04900945216</v>
      </c>
      <c r="G35" s="3"/>
      <c r="H35" s="23">
        <f>SQRT((F45/2)*((H31-H26)^2+(H33-I26)^2))</f>
        <v>0.05164176941</v>
      </c>
      <c r="I35" s="3"/>
      <c r="J35" s="12"/>
      <c r="K35" s="19"/>
      <c r="L35" s="16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21" t="s">
        <v>27</v>
      </c>
      <c r="B36" s="23">
        <f>B26/sqrt(7)</f>
        <v>0.005677261005</v>
      </c>
      <c r="C36" s="3"/>
      <c r="D36" s="23">
        <f>D26/sqrt(7)</f>
        <v>0.0116327008</v>
      </c>
      <c r="E36" s="3"/>
      <c r="F36" s="23">
        <f>F26/sqrt(7)</f>
        <v>0.01388289213</v>
      </c>
      <c r="G36" s="3"/>
      <c r="H36" s="23">
        <f>H26/sqrt(7)</f>
        <v>0.01992059065</v>
      </c>
      <c r="I36" s="3"/>
      <c r="J36" s="12"/>
      <c r="K36" s="19"/>
      <c r="L36" s="16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21" t="s">
        <v>28</v>
      </c>
      <c r="B37" s="13">
        <f>B22-2*B36</f>
        <v>-0.01178309344</v>
      </c>
      <c r="C37" s="13">
        <f>B22</f>
        <v>-0.0004285714286</v>
      </c>
      <c r="D37" s="13">
        <f>D22-2*D36</f>
        <v>-0.02297968731</v>
      </c>
      <c r="E37" s="13">
        <f>D22</f>
        <v>0.0002857142857</v>
      </c>
      <c r="F37" s="13">
        <f>F22-2*F36</f>
        <v>-0.0279086414</v>
      </c>
      <c r="G37" s="13">
        <f>F22</f>
        <v>-0.0001428571429</v>
      </c>
      <c r="H37" s="13">
        <f>H22-2*H36</f>
        <v>-0.03998403845</v>
      </c>
      <c r="I37" s="13">
        <f>H22</f>
        <v>-0.0001428571429</v>
      </c>
      <c r="J37" s="12"/>
      <c r="K37" s="19"/>
      <c r="L37" s="16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4"/>
      <c r="B38" s="13"/>
      <c r="C38" s="13">
        <f>B22+2*D36</f>
        <v>0.02283683017</v>
      </c>
      <c r="D38" s="13"/>
      <c r="E38" s="13">
        <f>D22+2*D36</f>
        <v>0.02355111588</v>
      </c>
      <c r="F38" s="13"/>
      <c r="G38" s="13">
        <f>F22+2*F36</f>
        <v>0.02762292712</v>
      </c>
      <c r="H38" s="13"/>
      <c r="I38" s="13">
        <f>H22+2*H36</f>
        <v>0.03969832416</v>
      </c>
      <c r="J38" s="12"/>
      <c r="K38" s="19"/>
      <c r="L38" s="16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3" t="s">
        <v>29</v>
      </c>
      <c r="B39" s="23">
        <f>B29-B34</f>
        <v>0.0105719415</v>
      </c>
      <c r="C39" s="3"/>
      <c r="D39" s="23">
        <f>D29-D34</f>
        <v>0.01985857188</v>
      </c>
      <c r="E39" s="3"/>
      <c r="F39" s="23">
        <f>F29-F34</f>
        <v>0.02971751225</v>
      </c>
      <c r="G39" s="3"/>
      <c r="H39" s="23">
        <f>H29-H34</f>
        <v>0.02686107643</v>
      </c>
      <c r="I39" s="3"/>
      <c r="J39" s="12"/>
      <c r="K39" s="19"/>
      <c r="L39" s="16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3" t="s">
        <v>30</v>
      </c>
      <c r="B40" s="23">
        <f>B29+B35</f>
        <v>0.03338063972</v>
      </c>
      <c r="C40" s="3"/>
      <c r="D40" s="23">
        <f>D29+D35</f>
        <v>0.06370514828</v>
      </c>
      <c r="E40" s="3"/>
      <c r="F40" s="23">
        <f>F29+F35</f>
        <v>0.09322495267</v>
      </c>
      <c r="G40" s="3"/>
      <c r="H40" s="23">
        <f>H29+H35</f>
        <v>0.09377952685</v>
      </c>
      <c r="I40" s="3"/>
      <c r="J40" s="12"/>
      <c r="K40" s="19"/>
      <c r="L40" s="16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21" t="s">
        <v>31</v>
      </c>
      <c r="B41" s="21" t="s">
        <v>32</v>
      </c>
      <c r="C41" s="6"/>
      <c r="D41" s="6"/>
      <c r="F41" s="6"/>
      <c r="H41" s="6"/>
      <c r="J41" s="12"/>
      <c r="K41" s="6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4"/>
      <c r="B42" s="4"/>
      <c r="C42" s="6"/>
      <c r="D42" s="6"/>
      <c r="E42" s="6"/>
      <c r="F42" s="6"/>
      <c r="G42" s="6"/>
      <c r="H42" s="6"/>
      <c r="I42" s="6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21" t="s">
        <v>33</v>
      </c>
      <c r="B43" s="21" t="s">
        <v>34</v>
      </c>
      <c r="C43" s="6"/>
      <c r="D43" s="6"/>
      <c r="E43" s="6"/>
      <c r="F43" s="6"/>
      <c r="G43" s="6"/>
      <c r="H43" s="6"/>
      <c r="I43" s="6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23.25" customHeight="1">
      <c r="A44" s="4"/>
      <c r="B44" s="26"/>
      <c r="C44" s="6"/>
      <c r="D44" s="6"/>
      <c r="E44" s="6"/>
      <c r="F44" s="6"/>
      <c r="G44" s="6"/>
      <c r="H44" s="6"/>
      <c r="I44" s="6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27" t="s">
        <v>35</v>
      </c>
      <c r="B45" s="28" t="s">
        <v>36</v>
      </c>
      <c r="C45" s="6"/>
      <c r="D45" s="6"/>
      <c r="E45" s="19" t="s">
        <v>37</v>
      </c>
      <c r="F45" s="16">
        <f>(-2*ln(1-0.5))^0.5</f>
        <v>1.177410023</v>
      </c>
      <c r="G45" s="6" t="s">
        <v>38</v>
      </c>
      <c r="H45" s="6"/>
      <c r="I45" s="6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36.75" customHeight="1">
      <c r="A46" s="4"/>
      <c r="B46" s="29"/>
      <c r="C46" s="6"/>
      <c r="D46" s="6"/>
      <c r="E46" s="6"/>
      <c r="F46" s="12"/>
      <c r="G46" s="6"/>
      <c r="H46" s="6"/>
      <c r="I46" s="6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6" t="s">
        <v>21</v>
      </c>
      <c r="B47" s="6"/>
      <c r="C47" s="6"/>
      <c r="D47" s="6"/>
      <c r="E47" s="6"/>
      <c r="F47" s="6"/>
      <c r="G47" s="6"/>
      <c r="H47" s="6"/>
      <c r="I47" s="6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6" t="s">
        <v>39</v>
      </c>
      <c r="B48" s="6" t="s">
        <v>40</v>
      </c>
      <c r="C48" s="6" t="s">
        <v>41</v>
      </c>
      <c r="D48" s="6">
        <v>14.4494</v>
      </c>
      <c r="E48" s="6"/>
      <c r="F48" s="6"/>
      <c r="G48" s="6"/>
      <c r="H48" s="6"/>
      <c r="I48" s="6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6"/>
      <c r="B49" s="6"/>
      <c r="C49" s="6"/>
      <c r="D49" s="6"/>
      <c r="E49" s="6"/>
      <c r="F49" s="6"/>
      <c r="G49" s="6"/>
      <c r="H49" s="6"/>
      <c r="I49" s="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6" t="s">
        <v>42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6" t="s">
        <v>43</v>
      </c>
      <c r="B51" s="6" t="s">
        <v>44</v>
      </c>
      <c r="C51" s="6" t="s">
        <v>45</v>
      </c>
      <c r="D51" s="6">
        <v>1.2373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6" t="s">
        <v>46</v>
      </c>
      <c r="B53" s="12"/>
      <c r="C53" s="12"/>
      <c r="D53" s="12"/>
      <c r="E53" s="6" t="s">
        <v>47</v>
      </c>
      <c r="F53" s="12"/>
      <c r="G53" s="12"/>
      <c r="H53" s="12"/>
      <c r="I53" s="6" t="s">
        <v>48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6" t="s">
        <v>49</v>
      </c>
      <c r="B54" s="6" t="s">
        <v>50</v>
      </c>
      <c r="C54" s="6" t="s">
        <v>51</v>
      </c>
      <c r="D54" s="12"/>
      <c r="E54" s="6" t="s">
        <v>49</v>
      </c>
      <c r="F54" s="6" t="s">
        <v>50</v>
      </c>
      <c r="G54" s="6" t="s">
        <v>51</v>
      </c>
      <c r="H54" s="12"/>
      <c r="I54" s="6" t="s">
        <v>49</v>
      </c>
      <c r="J54" s="6" t="s">
        <v>50</v>
      </c>
      <c r="K54" s="6" t="s">
        <v>51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6">
        <v>1.0</v>
      </c>
      <c r="B55" s="6">
        <v>5.4</v>
      </c>
      <c r="C55" s="6">
        <v>-0.6</v>
      </c>
      <c r="D55" s="12"/>
      <c r="E55" s="6">
        <v>1.0</v>
      </c>
      <c r="F55" s="6">
        <v>6.1</v>
      </c>
      <c r="G55" s="6">
        <v>0.9</v>
      </c>
      <c r="H55" s="12"/>
      <c r="I55" s="6">
        <v>1.0</v>
      </c>
      <c r="J55" s="6">
        <v>0.0</v>
      </c>
      <c r="K55" s="6">
        <v>1.5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6">
        <v>2.0</v>
      </c>
      <c r="B56" s="6">
        <v>7.4</v>
      </c>
      <c r="C56" s="6">
        <v>0.7</v>
      </c>
      <c r="D56" s="12"/>
      <c r="E56" s="6">
        <v>2.0</v>
      </c>
      <c r="F56" s="6">
        <v>8.4</v>
      </c>
      <c r="G56" s="6">
        <v>0.9</v>
      </c>
      <c r="H56" s="12"/>
      <c r="I56" s="6">
        <v>2.0</v>
      </c>
      <c r="J56" s="6">
        <v>3.1</v>
      </c>
      <c r="K56" s="6">
        <v>0.2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6">
        <v>3.0</v>
      </c>
      <c r="B57" s="6">
        <v>8.1</v>
      </c>
      <c r="C57" s="6">
        <v>3.8</v>
      </c>
      <c r="D57" s="12"/>
      <c r="E57" s="6">
        <v>3.0</v>
      </c>
      <c r="F57" s="6">
        <v>15.0</v>
      </c>
      <c r="G57" s="6">
        <v>0.4</v>
      </c>
      <c r="H57" s="12"/>
      <c r="I57" s="6">
        <v>3.0</v>
      </c>
      <c r="J57" s="6">
        <v>4.0</v>
      </c>
      <c r="K57" s="6">
        <v>-0.6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6">
        <v>4.0</v>
      </c>
      <c r="B58" s="6">
        <v>10.4</v>
      </c>
      <c r="C58" s="6">
        <v>2.5</v>
      </c>
      <c r="D58" s="12"/>
      <c r="E58" s="6">
        <v>4.0</v>
      </c>
      <c r="F58" s="6">
        <v>15.5</v>
      </c>
      <c r="G58" s="6">
        <v>0.7</v>
      </c>
      <c r="H58" s="12"/>
      <c r="I58" s="6">
        <v>4.0</v>
      </c>
      <c r="J58" s="6">
        <v>0.8</v>
      </c>
      <c r="K58" s="6">
        <v>4.0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6">
        <v>5.0</v>
      </c>
      <c r="B59" s="6">
        <v>12.5</v>
      </c>
      <c r="C59" s="6">
        <v>2.5</v>
      </c>
      <c r="D59" s="12"/>
      <c r="E59" s="6">
        <v>5.0</v>
      </c>
      <c r="F59" s="6">
        <v>18.1</v>
      </c>
      <c r="G59" s="6">
        <v>3.9</v>
      </c>
      <c r="H59" s="12"/>
      <c r="I59" s="6">
        <v>5.0</v>
      </c>
      <c r="J59" s="6">
        <v>2.5</v>
      </c>
      <c r="K59" s="6">
        <v>3.4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6">
        <v>6.0</v>
      </c>
      <c r="B60" s="6">
        <v>16.5</v>
      </c>
      <c r="C60" s="6">
        <v>0.0</v>
      </c>
      <c r="D60" s="12"/>
      <c r="E60" s="6">
        <v>6.0</v>
      </c>
      <c r="F60" s="6">
        <v>20.0</v>
      </c>
      <c r="G60" s="6">
        <v>-1.2</v>
      </c>
      <c r="H60" s="12"/>
      <c r="I60" s="6">
        <v>6.0</v>
      </c>
      <c r="J60" s="6">
        <v>5.0</v>
      </c>
      <c r="K60" s="6">
        <v>4.8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6">
        <v>7.0</v>
      </c>
      <c r="B61" s="6">
        <v>11.0</v>
      </c>
      <c r="C61" s="6">
        <v>-7.8</v>
      </c>
      <c r="D61" s="12"/>
      <c r="E61" s="6">
        <v>7.0</v>
      </c>
      <c r="F61" s="6">
        <v>18.3</v>
      </c>
      <c r="G61" s="6">
        <v>-2.2</v>
      </c>
      <c r="H61" s="12"/>
      <c r="I61" s="6">
        <v>7.0</v>
      </c>
      <c r="J61" s="6">
        <v>9.3</v>
      </c>
      <c r="K61" s="6">
        <v>1.8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6" t="s">
        <v>52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6" t="s">
        <v>49</v>
      </c>
      <c r="B64" s="6" t="s">
        <v>50</v>
      </c>
      <c r="C64" s="6" t="s">
        <v>51</v>
      </c>
      <c r="D64" s="12"/>
      <c r="E64" s="6" t="s">
        <v>53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6">
        <v>1.0</v>
      </c>
      <c r="B65" s="6">
        <v>-1.0</v>
      </c>
      <c r="C65" s="6">
        <v>5.5</v>
      </c>
      <c r="D65" s="12"/>
      <c r="E65" s="6" t="s">
        <v>54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6">
        <v>2.0</v>
      </c>
      <c r="B66" s="6">
        <v>0.8</v>
      </c>
      <c r="C66" s="6">
        <v>3.4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6">
        <v>3.0</v>
      </c>
      <c r="B67" s="6">
        <v>1.6</v>
      </c>
      <c r="C67" s="6">
        <v>2.3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6">
        <v>4.0</v>
      </c>
      <c r="B68" s="6">
        <v>2.1</v>
      </c>
      <c r="C68" s="6">
        <v>3.1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6">
        <v>5.0</v>
      </c>
      <c r="B69" s="6">
        <v>2.3</v>
      </c>
      <c r="C69" s="6">
        <v>4.3</v>
      </c>
      <c r="D69" s="12"/>
      <c r="E69" s="12"/>
      <c r="F69" s="12"/>
      <c r="G69" s="6" t="s">
        <v>55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6">
        <v>6.0</v>
      </c>
      <c r="B70" s="6">
        <v>3.0</v>
      </c>
      <c r="C70" s="6">
        <v>2.2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6">
        <v>7.0</v>
      </c>
      <c r="B71" s="6">
        <v>3.5</v>
      </c>
      <c r="C71" s="6">
        <v>2.8</v>
      </c>
      <c r="D71" s="12"/>
      <c r="E71" s="12"/>
      <c r="F71" s="12"/>
      <c r="G71" s="6" t="s">
        <v>56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6">
        <v>0.0376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6" t="s">
        <v>57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6" t="s">
        <v>58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6">
        <v>1.3298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6" t="s">
        <v>59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6" t="s">
        <v>58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6">
        <v>0.5869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6" t="s">
        <v>60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6" t="s">
        <v>58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6">
        <v>0.0443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</row>
  </sheetData>
  <mergeCells count="75">
    <mergeCell ref="A41:A42"/>
    <mergeCell ref="A37:A38"/>
    <mergeCell ref="F33:G33"/>
    <mergeCell ref="F40:G40"/>
    <mergeCell ref="F36:G36"/>
    <mergeCell ref="F35:G35"/>
    <mergeCell ref="F39:G39"/>
    <mergeCell ref="H33:I33"/>
    <mergeCell ref="H35:I35"/>
    <mergeCell ref="H36:I36"/>
    <mergeCell ref="H40:I40"/>
    <mergeCell ref="H39:I39"/>
    <mergeCell ref="H41:I41"/>
    <mergeCell ref="A43:A44"/>
    <mergeCell ref="B43:B44"/>
    <mergeCell ref="A45:A46"/>
    <mergeCell ref="B45:B46"/>
    <mergeCell ref="B33:C33"/>
    <mergeCell ref="B41:B42"/>
    <mergeCell ref="F41:G41"/>
    <mergeCell ref="F32:G32"/>
    <mergeCell ref="F31:G31"/>
    <mergeCell ref="H31:I31"/>
    <mergeCell ref="H32:I32"/>
    <mergeCell ref="H34:I34"/>
    <mergeCell ref="F34:G34"/>
    <mergeCell ref="H30:I30"/>
    <mergeCell ref="F30:G30"/>
    <mergeCell ref="F29:G29"/>
    <mergeCell ref="H29:I29"/>
    <mergeCell ref="F28:G28"/>
    <mergeCell ref="D32:E32"/>
    <mergeCell ref="B32:C32"/>
    <mergeCell ref="D33:E33"/>
    <mergeCell ref="D31:E31"/>
    <mergeCell ref="B31:C31"/>
    <mergeCell ref="D30:E30"/>
    <mergeCell ref="B30:C30"/>
    <mergeCell ref="B29:C29"/>
    <mergeCell ref="D29:E29"/>
    <mergeCell ref="B36:C36"/>
    <mergeCell ref="D36:E36"/>
    <mergeCell ref="D35:E35"/>
    <mergeCell ref="B35:C35"/>
    <mergeCell ref="D39:E39"/>
    <mergeCell ref="D41:E41"/>
    <mergeCell ref="D40:E40"/>
    <mergeCell ref="D1:E1"/>
    <mergeCell ref="D12:E12"/>
    <mergeCell ref="B34:C34"/>
    <mergeCell ref="D34:E34"/>
    <mergeCell ref="B39:C39"/>
    <mergeCell ref="B40:C40"/>
    <mergeCell ref="B1:C1"/>
    <mergeCell ref="A1:A2"/>
    <mergeCell ref="B12:C12"/>
    <mergeCell ref="A12:A13"/>
    <mergeCell ref="D27:E27"/>
    <mergeCell ref="D28:E28"/>
    <mergeCell ref="F27:G27"/>
    <mergeCell ref="B27:C27"/>
    <mergeCell ref="B28:C28"/>
    <mergeCell ref="H1:I1"/>
    <mergeCell ref="N1:O1"/>
    <mergeCell ref="P1:Q1"/>
    <mergeCell ref="M1:M2"/>
    <mergeCell ref="R1:S1"/>
    <mergeCell ref="T1:U1"/>
    <mergeCell ref="H28:I28"/>
    <mergeCell ref="K22:K23"/>
    <mergeCell ref="L22:L23"/>
    <mergeCell ref="H27:I27"/>
    <mergeCell ref="F12:G12"/>
    <mergeCell ref="H12:I12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  <c r="C1" s="3"/>
    </row>
    <row r="2">
      <c r="A2" s="4"/>
      <c r="B2" s="5" t="s">
        <v>1</v>
      </c>
      <c r="C2" s="5" t="s">
        <v>2</v>
      </c>
    </row>
    <row r="3">
      <c r="A3" s="5" t="s">
        <v>3</v>
      </c>
      <c r="B3" s="7">
        <v>0.052</v>
      </c>
      <c r="C3" s="6">
        <v>-0.008</v>
      </c>
    </row>
    <row r="4">
      <c r="A4" s="5" t="s">
        <v>4</v>
      </c>
      <c r="B4" s="7">
        <v>0.053</v>
      </c>
      <c r="C4" s="6">
        <v>0.01</v>
      </c>
    </row>
    <row r="5">
      <c r="A5" s="5" t="s">
        <v>5</v>
      </c>
      <c r="B5" s="7">
        <v>0.069</v>
      </c>
      <c r="C5" s="6">
        <v>0.005</v>
      </c>
    </row>
    <row r="6">
      <c r="A6" s="5" t="s">
        <v>6</v>
      </c>
      <c r="B6" s="7">
        <v>0.07</v>
      </c>
      <c r="C6" s="6">
        <v>0.014</v>
      </c>
    </row>
    <row r="7">
      <c r="A7" s="5" t="s">
        <v>7</v>
      </c>
      <c r="B7" s="7">
        <v>0.08</v>
      </c>
      <c r="C7" s="6">
        <v>0.008</v>
      </c>
    </row>
    <row r="8">
      <c r="A8" s="5" t="s">
        <v>8</v>
      </c>
      <c r="B8" s="7">
        <v>0.105</v>
      </c>
      <c r="C8" s="6">
        <v>-0.005</v>
      </c>
    </row>
    <row r="9">
      <c r="A9" s="8" t="s">
        <v>9</v>
      </c>
      <c r="B9" s="9">
        <v>0.07</v>
      </c>
      <c r="C9" s="10">
        <v>0.012</v>
      </c>
    </row>
    <row r="11">
      <c r="B11" s="11">
        <f t="shared" ref="B11:C11" si="1">AVERAGE(B3:B9)</f>
        <v>0.07128571429</v>
      </c>
      <c r="C11" s="11">
        <f t="shared" si="1"/>
        <v>0.005142857143</v>
      </c>
    </row>
  </sheetData>
  <mergeCells count="2">
    <mergeCell ref="B1:C1"/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9.0</v>
      </c>
      <c r="C1" s="3"/>
    </row>
    <row r="2">
      <c r="A2" s="4"/>
      <c r="B2" s="5" t="s">
        <v>1</v>
      </c>
      <c r="C2" s="5" t="s">
        <v>2</v>
      </c>
    </row>
    <row r="3">
      <c r="A3" s="5" t="s">
        <v>3</v>
      </c>
      <c r="B3" s="6">
        <v>0.1</v>
      </c>
      <c r="C3" s="6">
        <v>-0.044</v>
      </c>
    </row>
    <row r="4">
      <c r="A4" s="5" t="s">
        <v>4</v>
      </c>
      <c r="B4" s="6">
        <v>0.098</v>
      </c>
      <c r="C4" s="6">
        <v>-0.058</v>
      </c>
    </row>
    <row r="5">
      <c r="A5" s="5" t="s">
        <v>5</v>
      </c>
      <c r="B5" s="6">
        <v>0.094</v>
      </c>
      <c r="C5" s="6">
        <v>-0.074</v>
      </c>
    </row>
    <row r="6">
      <c r="A6" s="5" t="s">
        <v>6</v>
      </c>
      <c r="B6" s="6">
        <v>0.092</v>
      </c>
      <c r="C6" s="6">
        <v>-0.099</v>
      </c>
    </row>
    <row r="7">
      <c r="A7" s="5" t="s">
        <v>7</v>
      </c>
      <c r="B7" s="6">
        <v>0.08</v>
      </c>
      <c r="C7" s="6">
        <v>-0.11</v>
      </c>
    </row>
    <row r="8">
      <c r="A8" s="5" t="s">
        <v>8</v>
      </c>
      <c r="B8" s="6">
        <v>0.14</v>
      </c>
      <c r="C8" s="6">
        <v>-0.042</v>
      </c>
    </row>
    <row r="9">
      <c r="A9" s="8" t="s">
        <v>9</v>
      </c>
      <c r="B9" s="10">
        <v>0.146</v>
      </c>
      <c r="C9" s="10">
        <v>-0.075</v>
      </c>
    </row>
    <row r="11">
      <c r="B11" s="11">
        <f t="shared" ref="B11:C11" si="1">AVERAGE(B3:B9)</f>
        <v>0.1071428571</v>
      </c>
      <c r="C11" s="11">
        <f t="shared" si="1"/>
        <v>-0.07171428571</v>
      </c>
    </row>
  </sheetData>
  <mergeCells count="2">
    <mergeCell ref="A1:A2"/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13.0</v>
      </c>
      <c r="C1" s="3"/>
    </row>
    <row r="2">
      <c r="A2" s="4"/>
      <c r="B2" s="5" t="s">
        <v>1</v>
      </c>
      <c r="C2" s="5" t="s">
        <v>2</v>
      </c>
    </row>
    <row r="3">
      <c r="A3" s="5" t="s">
        <v>3</v>
      </c>
      <c r="B3" s="6">
        <v>0.176</v>
      </c>
      <c r="C3" s="6">
        <v>-0.074</v>
      </c>
    </row>
    <row r="4">
      <c r="A4" s="5" t="s">
        <v>4</v>
      </c>
      <c r="B4" s="6">
        <v>0.2</v>
      </c>
      <c r="C4" s="6">
        <v>-0.059</v>
      </c>
    </row>
    <row r="5">
      <c r="A5" s="5" t="s">
        <v>5</v>
      </c>
      <c r="B5" s="6">
        <v>0.216</v>
      </c>
      <c r="C5" s="6">
        <v>-0.075</v>
      </c>
    </row>
    <row r="6">
      <c r="A6" s="5" t="s">
        <v>6</v>
      </c>
      <c r="B6" s="6">
        <v>0.216</v>
      </c>
      <c r="C6" s="6">
        <v>-0.088</v>
      </c>
    </row>
    <row r="7">
      <c r="A7" s="5" t="s">
        <v>7</v>
      </c>
      <c r="B7" s="6">
        <v>0.234</v>
      </c>
      <c r="C7" s="6">
        <v>-0.148</v>
      </c>
    </row>
    <row r="8">
      <c r="A8" s="5" t="s">
        <v>8</v>
      </c>
      <c r="B8" s="6">
        <v>0.235</v>
      </c>
      <c r="C8" s="6">
        <v>-0.15</v>
      </c>
    </row>
    <row r="9">
      <c r="A9" s="8" t="s">
        <v>9</v>
      </c>
      <c r="B9" s="10">
        <v>0.24</v>
      </c>
      <c r="C9" s="10">
        <v>-0.15</v>
      </c>
    </row>
  </sheetData>
  <mergeCells count="2">
    <mergeCell ref="A1:A2"/>
    <mergeCell ref="B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16.0</v>
      </c>
      <c r="C1" s="3"/>
    </row>
    <row r="2">
      <c r="A2" s="4"/>
      <c r="B2" s="5" t="s">
        <v>1</v>
      </c>
      <c r="C2" s="5" t="s">
        <v>2</v>
      </c>
    </row>
    <row r="3">
      <c r="A3" s="5" t="s">
        <v>3</v>
      </c>
      <c r="B3" s="6">
        <v>0.294</v>
      </c>
      <c r="C3" s="14">
        <v>-0.087</v>
      </c>
    </row>
    <row r="4">
      <c r="A4" s="5" t="s">
        <v>4</v>
      </c>
      <c r="B4" s="6">
        <v>0.235</v>
      </c>
      <c r="C4" s="14">
        <v>-0.14</v>
      </c>
    </row>
    <row r="5">
      <c r="A5" s="5" t="s">
        <v>5</v>
      </c>
      <c r="B5" s="6">
        <v>0.275</v>
      </c>
      <c r="C5" s="14">
        <v>-0.153</v>
      </c>
    </row>
    <row r="6">
      <c r="A6" s="5" t="s">
        <v>6</v>
      </c>
      <c r="B6" s="6">
        <v>0.313</v>
      </c>
      <c r="C6" s="14">
        <v>-0.195</v>
      </c>
    </row>
    <row r="7">
      <c r="A7" s="5" t="s">
        <v>7</v>
      </c>
      <c r="B7" s="6">
        <v>0.35</v>
      </c>
      <c r="C7" s="14">
        <v>-0.192</v>
      </c>
    </row>
    <row r="8">
      <c r="A8" s="5" t="s">
        <v>8</v>
      </c>
      <c r="B8" s="6">
        <v>0.35</v>
      </c>
      <c r="C8" s="14">
        <v>-0.145</v>
      </c>
    </row>
    <row r="9">
      <c r="A9" s="8" t="s">
        <v>9</v>
      </c>
      <c r="B9" s="10">
        <v>0.355</v>
      </c>
      <c r="C9" s="15">
        <v>-0.124</v>
      </c>
    </row>
  </sheetData>
  <mergeCells count="2">
    <mergeCell ref="A1:A2"/>
    <mergeCell ref="B1:C1"/>
  </mergeCells>
  <drawing r:id="rId1"/>
</worksheet>
</file>